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M12" i="8"/>
  <c r="M12" i="3"/>
  <c r="H18" i="9"/>
  <c r="H21"/>
  <c r="AF11" i="2" l="1"/>
  <c r="AG11" s="1"/>
  <c r="AF12"/>
  <c r="AG12" s="1"/>
  <c r="AF13"/>
  <c r="AG13" s="1"/>
  <c r="AF14"/>
  <c r="AG14" s="1"/>
  <c r="AF15"/>
  <c r="AH15" s="1"/>
  <c r="AF16"/>
  <c r="AF17"/>
  <c r="AG17" s="1"/>
  <c r="AF18"/>
  <c r="AG18" s="1"/>
  <c r="AF19"/>
  <c r="AH19" s="1"/>
  <c r="AF20"/>
  <c r="AG20" s="1"/>
  <c r="AF21"/>
  <c r="AG21" s="1"/>
  <c r="AF10"/>
  <c r="AH10" s="1"/>
  <c r="AJ10" l="1"/>
  <c r="AJ15"/>
  <c r="AJ13"/>
  <c r="AJ14"/>
  <c r="AG19"/>
  <c r="AI19" s="1"/>
  <c r="AG15"/>
  <c r="AI15" s="1"/>
  <c r="AG10"/>
  <c r="AH21"/>
  <c r="AI21" s="1"/>
  <c r="AH17"/>
  <c r="AI17" s="1"/>
  <c r="AH13"/>
  <c r="AI13" s="1"/>
  <c r="AH11"/>
  <c r="AI11" s="1"/>
  <c r="AH20"/>
  <c r="AI20" s="1"/>
  <c r="AH18"/>
  <c r="AI18" s="1"/>
  <c r="AH14"/>
  <c r="AI14" s="1"/>
  <c r="AH12"/>
  <c r="AI12" s="1"/>
  <c r="AI10" l="1"/>
  <c r="Q41" i="3" l="1"/>
  <c r="H22" i="2"/>
  <c r="H10"/>
  <c r="Q39" i="3"/>
  <c r="Q6" l="1"/>
  <c r="Q43"/>
  <c r="P9" i="2"/>
  <c r="D25" l="1"/>
  <c r="O25" s="1"/>
  <c r="I10"/>
  <c r="O10"/>
  <c r="O9"/>
  <c r="AA24" l="1"/>
  <c r="AA26"/>
  <c r="AA27"/>
  <c r="AA28"/>
  <c r="AA29"/>
  <c r="AA30"/>
  <c r="G146" i="9" l="1"/>
  <c r="G8"/>
  <c r="G7"/>
  <c r="A7"/>
  <c r="B63" s="1"/>
  <c r="B146" s="1"/>
  <c r="Z31" i="2"/>
  <c r="Q32" i="8" l="1"/>
  <c r="Q32" i="3"/>
  <c r="K141" i="9" l="1"/>
  <c r="B40" l="1"/>
  <c r="B28"/>
  <c r="A9"/>
  <c r="G9" s="1"/>
  <c r="G12"/>
  <c r="D12"/>
  <c r="K137"/>
  <c r="I131"/>
  <c r="K131" s="1"/>
  <c r="I130"/>
  <c r="K130" s="1"/>
  <c r="I129"/>
  <c r="K129" s="1"/>
  <c r="G125"/>
  <c r="I125" s="1"/>
  <c r="K125" s="1"/>
  <c r="I124"/>
  <c r="K124" s="1"/>
  <c r="I120"/>
  <c r="K120" s="1"/>
  <c r="I119"/>
  <c r="K119" s="1"/>
  <c r="L106"/>
  <c r="B61" l="1"/>
  <c r="A8"/>
  <c r="A64" s="1"/>
  <c r="A147" s="1"/>
  <c r="H155" l="1"/>
  <c r="H156"/>
  <c r="O28" i="8"/>
  <c r="I28"/>
  <c r="O27"/>
  <c r="I27"/>
  <c r="O26"/>
  <c r="O25"/>
  <c r="I25"/>
  <c r="O24"/>
  <c r="I24"/>
  <c r="O23"/>
  <c r="I23"/>
  <c r="O22"/>
  <c r="O21"/>
  <c r="O22" i="3"/>
  <c r="O26"/>
  <c r="O28"/>
  <c r="O27"/>
  <c r="O25"/>
  <c r="O24"/>
  <c r="O23"/>
  <c r="O21"/>
  <c r="S10" i="2"/>
  <c r="O22"/>
  <c r="AA22" s="1"/>
  <c r="N27"/>
  <c r="AB27" s="1"/>
  <c r="N28"/>
  <c r="AB28" s="1"/>
  <c r="N29"/>
  <c r="AB29" s="1"/>
  <c r="N30"/>
  <c r="AB30" s="1"/>
  <c r="I27" i="3"/>
  <c r="G116" i="9" s="1"/>
  <c r="I116" s="1"/>
  <c r="K116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D11" i="2"/>
  <c r="H11" s="1"/>
  <c r="Y11"/>
  <c r="Y12" s="1"/>
  <c r="Y13" s="1"/>
  <c r="Y14" s="1"/>
  <c r="Y15" s="1"/>
  <c r="Y16" s="1"/>
  <c r="Y17" s="1"/>
  <c r="Y18" s="1"/>
  <c r="J12"/>
  <c r="Q44" i="3" l="1"/>
  <c r="S11" i="2"/>
  <c r="I11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E14"/>
  <c r="Q5"/>
  <c r="I93" i="9" s="1"/>
  <c r="L3" i="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H12" s="1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S12" l="1"/>
  <c r="I12"/>
  <c r="X11"/>
  <c r="X12" s="1"/>
  <c r="T13"/>
  <c r="O12"/>
  <c r="L31"/>
  <c r="F31"/>
  <c r="R31"/>
  <c r="D13"/>
  <c r="H13" s="1"/>
  <c r="P31"/>
  <c r="V31"/>
  <c r="I29" i="8" s="1"/>
  <c r="N11" i="2"/>
  <c r="W31"/>
  <c r="H14" i="3" s="1"/>
  <c r="M31" i="2"/>
  <c r="Q31"/>
  <c r="I21" i="8" s="1"/>
  <c r="G31" i="2"/>
  <c r="AA12" l="1"/>
  <c r="S13"/>
  <c r="I13"/>
  <c r="B29" i="9"/>
  <c r="AA11" i="2"/>
  <c r="AB11" s="1"/>
  <c r="T14"/>
  <c r="X13"/>
  <c r="B30" i="9"/>
  <c r="I21" i="3"/>
  <c r="G114" i="9" s="1"/>
  <c r="I114" s="1"/>
  <c r="K114" s="1"/>
  <c r="I29" i="3"/>
  <c r="G117" i="9" s="1"/>
  <c r="I117" s="1"/>
  <c r="K117" s="1"/>
  <c r="O13" i="2"/>
  <c r="D14"/>
  <c r="H14" s="1"/>
  <c r="N12"/>
  <c r="F18" i="9" s="1"/>
  <c r="M14" i="3"/>
  <c r="Q15" s="1"/>
  <c r="AB12" i="2" l="1"/>
  <c r="AA13"/>
  <c r="I14"/>
  <c r="S14"/>
  <c r="T15"/>
  <c r="X14"/>
  <c r="B31" i="9"/>
  <c r="K18"/>
  <c r="O14" i="2"/>
  <c r="N22"/>
  <c r="AB22" s="1"/>
  <c r="N13"/>
  <c r="D15"/>
  <c r="H15" s="1"/>
  <c r="AA14" l="1"/>
  <c r="S15"/>
  <c r="I15"/>
  <c r="AB13"/>
  <c r="T16"/>
  <c r="X15"/>
  <c r="B32" i="9"/>
  <c r="O15" i="2"/>
  <c r="AA15" s="1"/>
  <c r="N14"/>
  <c r="AB14" s="1"/>
  <c r="D16"/>
  <c r="AG16" l="1"/>
  <c r="AG22" s="1"/>
  <c r="H16"/>
  <c r="AH16" s="1"/>
  <c r="S16"/>
  <c r="I16"/>
  <c r="T17"/>
  <c r="X16"/>
  <c r="B33" i="9"/>
  <c r="H19"/>
  <c r="O16" i="2"/>
  <c r="N15"/>
  <c r="D17"/>
  <c r="AI16" l="1"/>
  <c r="AI22" s="1"/>
  <c r="AH22"/>
  <c r="AJ16"/>
  <c r="AJ22" s="1"/>
  <c r="H26" s="1"/>
  <c r="N26" s="1"/>
  <c r="AB26" s="1"/>
  <c r="H17"/>
  <c r="H23"/>
  <c r="D24"/>
  <c r="H24" s="1"/>
  <c r="I17"/>
  <c r="AA16"/>
  <c r="AB15"/>
  <c r="F19" i="9"/>
  <c r="S17" i="2"/>
  <c r="T18"/>
  <c r="K19" i="9"/>
  <c r="X17" i="2"/>
  <c r="B34" i="9"/>
  <c r="F62" i="3"/>
  <c r="F65" i="8"/>
  <c r="O17" i="2"/>
  <c r="N16"/>
  <c r="D18"/>
  <c r="N23" l="1"/>
  <c r="O23"/>
  <c r="AA23" s="1"/>
  <c r="AA17"/>
  <c r="I18"/>
  <c r="H18"/>
  <c r="AB16"/>
  <c r="S18"/>
  <c r="T19"/>
  <c r="B35" i="9"/>
  <c r="X18" i="2"/>
  <c r="O18"/>
  <c r="N17"/>
  <c r="AB10"/>
  <c r="D19"/>
  <c r="AB17" l="1"/>
  <c r="AB23"/>
  <c r="I19"/>
  <c r="H19"/>
  <c r="AA18"/>
  <c r="S19"/>
  <c r="T20"/>
  <c r="X19"/>
  <c r="B36" i="9"/>
  <c r="H20"/>
  <c r="O19" i="2"/>
  <c r="N18"/>
  <c r="N24"/>
  <c r="AB24" s="1"/>
  <c r="D20"/>
  <c r="I20" l="1"/>
  <c r="H20"/>
  <c r="AA19"/>
  <c r="S20"/>
  <c r="F20" i="9"/>
  <c r="AB18" i="2"/>
  <c r="T21"/>
  <c r="K20" i="9"/>
  <c r="X20" i="2"/>
  <c r="B37" i="9"/>
  <c r="J62" i="3"/>
  <c r="J65" i="8"/>
  <c r="O20" i="2"/>
  <c r="N19"/>
  <c r="D21"/>
  <c r="I21" l="1"/>
  <c r="H21"/>
  <c r="AB19"/>
  <c r="AA20"/>
  <c r="S21"/>
  <c r="S31" s="1"/>
  <c r="T31"/>
  <c r="B38" i="9"/>
  <c r="L65" i="8"/>
  <c r="X21" i="2"/>
  <c r="L62" i="3"/>
  <c r="I31" i="2"/>
  <c r="O21"/>
  <c r="N20"/>
  <c r="D31"/>
  <c r="AA21" l="1"/>
  <c r="AA31" s="1"/>
  <c r="AB20"/>
  <c r="I22" i="8"/>
  <c r="I22" i="3"/>
  <c r="I115" i="9" s="1"/>
  <c r="K115" s="1"/>
  <c r="X31" i="2"/>
  <c r="F8" i="1" s="1"/>
  <c r="B39" i="9"/>
  <c r="B41" s="1"/>
  <c r="M65" i="8"/>
  <c r="P65" s="1"/>
  <c r="M62" i="3"/>
  <c r="P62" s="1"/>
  <c r="K21" i="9"/>
  <c r="K22" s="1"/>
  <c r="H22"/>
  <c r="H31" i="2"/>
  <c r="F20" i="1"/>
  <c r="I64" i="9" l="1"/>
  <c r="K143"/>
  <c r="N21" i="2"/>
  <c r="F21" i="9" l="1"/>
  <c r="F22" s="1"/>
  <c r="AB21" i="2"/>
  <c r="N31"/>
  <c r="Q4" i="8" l="1"/>
  <c r="Q4" i="3"/>
  <c r="Q7" i="8"/>
  <c r="F4" i="1"/>
  <c r="F17" s="1"/>
  <c r="Q10" i="8"/>
  <c r="O31" i="2"/>
  <c r="G113" i="9" s="1"/>
  <c r="I85" l="1"/>
  <c r="J90" s="1"/>
  <c r="J95" s="1"/>
  <c r="L103" s="1"/>
  <c r="L108" s="1"/>
  <c r="Q7" i="3"/>
  <c r="M10" s="1"/>
  <c r="Q10" s="1"/>
  <c r="Q11" s="1"/>
  <c r="Q16" s="1"/>
  <c r="Q18" s="1"/>
  <c r="I113" i="9"/>
  <c r="I26" i="3"/>
  <c r="O30" s="1"/>
  <c r="G118" i="9" s="1"/>
  <c r="I26" i="8"/>
  <c r="AB31" i="2"/>
  <c r="Q11" i="8"/>
  <c r="Q16" s="1"/>
  <c r="Q18" s="1"/>
  <c r="Q33"/>
  <c r="Q45" s="1"/>
  <c r="I118" i="9" l="1"/>
  <c r="K118" s="1"/>
  <c r="G121"/>
  <c r="K113"/>
  <c r="O30" i="8"/>
  <c r="Q31" i="3"/>
  <c r="Q46" i="8"/>
  <c r="Q47" s="1"/>
  <c r="Q57" l="1"/>
  <c r="Q51"/>
  <c r="Q53"/>
  <c r="Q54"/>
  <c r="Q52"/>
  <c r="F12" i="1"/>
  <c r="Q33" i="3"/>
  <c r="Q45" s="1"/>
  <c r="Q46" s="1"/>
  <c r="K121" i="9"/>
  <c r="K132" s="1"/>
  <c r="I121"/>
  <c r="A21" i="1"/>
  <c r="D21"/>
  <c r="Q55" i="8"/>
  <c r="Q47" i="3" l="1"/>
  <c r="Q51" s="1"/>
  <c r="Q56" i="8"/>
  <c r="Q58" s="1"/>
  <c r="F6" i="1" l="1"/>
  <c r="K134" i="9"/>
  <c r="Q53" i="3"/>
  <c r="Q52"/>
  <c r="Q59" i="8" l="1"/>
  <c r="Q60" s="1"/>
  <c r="Q61" s="1"/>
  <c r="Q63" s="1"/>
  <c r="Q54" i="3"/>
  <c r="K136" i="9" s="1"/>
  <c r="K138" s="1"/>
  <c r="Q55" i="3"/>
  <c r="B66" i="8" l="1"/>
  <c r="Q66"/>
  <c r="Q56" i="3"/>
  <c r="Q57" s="1"/>
  <c r="K139" i="9" s="1"/>
  <c r="Q58" i="3" l="1"/>
  <c r="Q60" s="1"/>
  <c r="K140" i="9" l="1"/>
  <c r="K142"/>
  <c r="K144" s="1"/>
  <c r="Q63" i="3"/>
  <c r="D20" i="1" s="1"/>
  <c r="B63" i="3"/>
  <c r="A20" i="1" s="1"/>
</calcChain>
</file>

<file path=xl/sharedStrings.xml><?xml version="1.0" encoding="utf-8"?>
<sst xmlns="http://schemas.openxmlformats.org/spreadsheetml/2006/main" count="659" uniqueCount="370">
  <si>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</si>
  <si>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</si>
  <si>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</si>
  <si>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</si>
  <si>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</si>
  <si>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</si>
  <si>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</si>
  <si>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</si>
  <si>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</si>
  <si>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</si>
  <si>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</si>
  <si>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</si>
  <si>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</si>
  <si>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</si>
  <si>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</si>
  <si>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</si>
  <si>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</si>
  <si>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</si>
  <si>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</si>
  <si>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</si>
  <si>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</si>
  <si>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</si>
  <si>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</si>
  <si>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</si>
  <si>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</si>
  <si>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</si>
  <si>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</si>
  <si>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</si>
  <si>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</si>
  <si>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</si>
  <si>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</si>
  <si>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</si>
  <si>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</si>
  <si>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</si>
  <si>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</si>
  <si>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</si>
  <si>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</si>
  <si>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</si>
  <si>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</si>
  <si>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</si>
  <si>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</si>
  <si>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</si>
  <si>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</si>
  <si>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</si>
  <si>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</si>
  <si>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</si>
  <si>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</si>
  <si>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</si>
  <si>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</si>
  <si>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</si>
  <si>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</si>
  <si>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</si>
  <si>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</si>
  <si>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</si>
  <si>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</si>
  <si>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</si>
  <si>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</si>
  <si>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</si>
  <si>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</si>
  <si>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</si>
  <si>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</si>
  <si>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</si>
  <si>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</si>
  <si>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</si>
  <si>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</si>
  <si>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</si>
  <si>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</si>
  <si>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</si>
  <si>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</si>
  <si>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</si>
  <si>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SR TEACHER</t>
  </si>
  <si>
    <t>ASQPM6311G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</si>
  <si>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</si>
  <si>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</si>
  <si>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</si>
  <si>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</si>
  <si>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</si>
  <si>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</si>
  <si>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</si>
  <si>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</si>
  <si>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</si>
  <si>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</si>
  <si>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</si>
  <si>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</si>
  <si>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</si>
  <si>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</si>
  <si>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</si>
  <si>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</si>
  <si>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</si>
  <si>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</si>
  <si>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</si>
  <si>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</si>
  <si>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</si>
  <si>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</si>
  <si>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</si>
  <si>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</si>
  <si>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</si>
  <si>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</si>
  <si>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</si>
  <si>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</si>
  <si>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</si>
  <si>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</si>
  <si>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</si>
  <si>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</si>
  <si>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</si>
  <si>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</si>
  <si>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</si>
  <si>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</si>
  <si>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</si>
  <si>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</si>
  <si>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</si>
  <si>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</si>
  <si>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</si>
  <si>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</si>
  <si>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</si>
  <si>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</si>
  <si>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</si>
  <si>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</si>
  <si>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</si>
  <si>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</si>
  <si>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</si>
  <si>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</si>
  <si>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</si>
  <si>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</si>
  <si>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</si>
  <si>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</si>
  <si>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</si>
  <si>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</si>
  <si>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</si>
  <si>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</si>
  <si>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</si>
  <si>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</si>
  <si>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</si>
  <si>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</si>
  <si>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</si>
  <si>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</si>
  <si>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</si>
  <si>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</si>
  <si>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</si>
  <si>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</si>
  <si>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</si>
  <si>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</si>
  <si>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</si>
  <si>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</si>
  <si>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</si>
  <si>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</si>
  <si>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</si>
  <si>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</si>
  <si>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</si>
  <si>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</si>
  <si>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</si>
  <si>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</si>
  <si>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</si>
  <si>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</si>
  <si>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</si>
  <si>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</si>
  <si>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</si>
  <si>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</si>
  <si>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</si>
  <si>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</si>
  <si>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</si>
  <si>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</si>
  <si>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</si>
  <si>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</si>
  <si>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</si>
  <si>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</si>
  <si>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</si>
  <si>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</si>
  <si>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</si>
  <si>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</si>
  <si>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</si>
  <si>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</si>
  <si>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</si>
  <si>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</si>
  <si>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</si>
  <si>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</si>
  <si>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</si>
  <si>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</si>
  <si>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</si>
  <si>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</si>
  <si>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</si>
  <si>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</si>
  <si>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</si>
  <si>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</si>
  <si>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</si>
  <si>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</si>
  <si>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</si>
  <si>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</si>
  <si>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</si>
  <si>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</si>
  <si>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</si>
  <si>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</si>
  <si>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</si>
  <si>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</si>
  <si>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</si>
  <si>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</si>
  <si>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</si>
  <si>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</si>
  <si>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</si>
  <si>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</si>
  <si>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</si>
  <si>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</si>
  <si>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</si>
  <si>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</si>
  <si>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</si>
  <si>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</si>
  <si>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</si>
  <si>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</si>
  <si>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</si>
  <si>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</si>
  <si>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</si>
  <si>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</si>
  <si>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</si>
  <si>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</si>
  <si>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</si>
  <si>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</si>
  <si>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</si>
  <si>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</si>
  <si>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</si>
  <si>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Gulla Ram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</si>
  <si>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</si>
  <si>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</si>
  <si>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</si>
  <si>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</si>
  <si>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</si>
  <si>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</si>
  <si>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</si>
  <si>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</si>
  <si>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</si>
  <si>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</si>
  <si>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</si>
  <si>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</si>
  <si>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</si>
  <si>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</si>
  <si>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</si>
  <si>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</si>
  <si>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</si>
  <si>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</si>
  <si>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</si>
  <si>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</si>
  <si>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</si>
  <si>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</si>
  <si>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</si>
  <si>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</si>
  <si>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</si>
  <si>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</si>
  <si>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</si>
  <si>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</si>
  <si>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</si>
  <si>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</si>
  <si>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</si>
  <si>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</si>
  <si>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</si>
  <si>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</si>
  <si>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</si>
  <si>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</si>
  <si>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</si>
  <si>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</si>
  <si>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</si>
  <si>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</si>
  <si>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</si>
  <si>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</si>
  <si>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</si>
  <si>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</si>
  <si>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</si>
  <si>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</si>
  <si>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</si>
  <si>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</si>
  <si>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</si>
  <si>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</si>
  <si>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</si>
  <si>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</si>
  <si>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</si>
  <si>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</si>
  <si>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</si>
  <si>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</si>
  <si>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</si>
  <si>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</si>
  <si>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</si>
  <si>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</si>
  <si>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</si>
  <si>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</si>
  <si>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</si>
  <si>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</si>
  <si>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</si>
  <si>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</si>
  <si>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</si>
  <si>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</si>
  <si>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</si>
  <si>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</si>
  <si>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</si>
  <si>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</si>
  <si>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</si>
  <si>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</si>
  <si>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</si>
  <si>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</si>
  <si>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</si>
  <si>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</si>
  <si>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</si>
  <si>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</si>
  <si>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15,00,001 से अधिक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</si>
  <si>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</si>
  <si>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</si>
  <si>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</si>
  <si>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</si>
  <si>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</si>
  <si>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</si>
  <si>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</si>
  <si>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</si>
  <si>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</si>
  <si>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</si>
  <si>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</si>
  <si>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</si>
  <si>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</si>
  <si>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</si>
  <si>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</si>
  <si>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</si>
  <si>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</si>
  <si>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</si>
  <si>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</si>
  <si>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</si>
  <si>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</si>
  <si>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</si>
  <si>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</si>
  <si>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</si>
  <si>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</si>
  <si>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</si>
  <si>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</si>
  <si>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</si>
  <si>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</si>
  <si>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</si>
  <si>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</si>
  <si>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</si>
  <si>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</si>
  <si>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</si>
  <si>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</si>
  <si>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</si>
  <si>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</si>
  <si>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</si>
  <si>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</si>
  <si>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</si>
  <si>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</si>
  <si>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</si>
  <si>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</si>
  <si>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</si>
  <si>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GOVT SR. SEC SCHOOL DILOD GORDHANPURA, ATRU BARAN</t>
  </si>
  <si>
    <t>INCOME TAX CALCULATION (GA-55) 2023-24</t>
  </si>
  <si>
    <t>आयकर गणना प्रपत्र वर्ष 2023-24 (कर निर्धारण वर्ष 2024-25)</t>
  </si>
  <si>
    <t>आय: वर्ष-2023-24 में प्राप्त कुल वेतन (कर योग्य सुविधाओं के मूल्य सहित)</t>
  </si>
  <si>
    <t>सितम्बर 2023 तक रु.</t>
  </si>
  <si>
    <t>दिसम्बर 2023 तक रु.</t>
  </si>
  <si>
    <t>जनवरी 2024 तक रु.</t>
  </si>
  <si>
    <t>फरवरी 2024 तक रु.</t>
  </si>
  <si>
    <t>3,00,001-6,00,000</t>
  </si>
  <si>
    <t>6,00,000 तक</t>
  </si>
  <si>
    <t>6,00,001-9,00,000</t>
  </si>
  <si>
    <t>9,00,001-12,00,000</t>
  </si>
  <si>
    <t>12,00,001-15,00,000</t>
  </si>
  <si>
    <t>DA Arrear 42%</t>
  </si>
  <si>
    <t>DA Arrear 46%</t>
  </si>
  <si>
    <t>2024-25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</si>
  <si>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</si>
  <si>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</si>
  <si>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</si>
  <si>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</si>
  <si>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(2) छूट धारा 87(A) (3.00 लाख से 7.00 लाख तक की कर योग्य आय पर आयकर की छूट अधिकतम रु. 25,000 तक)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</si>
  <si>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</si>
  <si>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</si>
  <si>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</si>
  <si>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(3) छूट धारा 115BAC(1) के तहत सीमांत राहत लाभ (Marginal Relief benefit under section 115BAC(1)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</si>
</sst>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43" fontId="59" fillId="0" borderId="0" applyFont="0" applyFill="0" applyBorder="0" applyAlignment="0" applyProtection="0"/>
    <xf numFmtId="0" fontId="5" fillId="0" borderId="0"/>
    <xf numFmtId="9" fontId="66" fillId="0" borderId="0" applyFont="0" applyFill="0" applyBorder="0" applyAlignment="0" applyProtection="0"/>
  </cellStyleXfs>
  <cellXfs count="595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3" fillId="0" borderId="0" xfId="0" applyFont="1"/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1" fillId="0" borderId="21" xfId="37" applyNumberFormat="1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1" fillId="0" borderId="0" xfId="37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1" borderId="17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29" borderId="0" xfId="0" applyNumberFormat="1" applyFont="1" applyFill="1" applyBorder="1" applyAlignment="1">
      <alignment horizontal="center" vertical="center"/>
    </xf>
    <xf numFmtId="2" fontId="52" fillId="29" borderId="0" xfId="0" applyNumberFormat="1" applyFont="1" applyFill="1" applyBorder="1" applyAlignment="1">
      <alignment horizontal="center" vertical="center"/>
    </xf>
    <xf numFmtId="2" fontId="30" fillId="29" borderId="0" xfId="0" applyNumberFormat="1" applyFont="1" applyFill="1" applyBorder="1" applyAlignment="1" applyProtection="1">
      <alignment horizontal="center"/>
      <protection locked="0"/>
    </xf>
    <xf numFmtId="2" fontId="30" fillId="29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 vertical="center"/>
      <protection locked="0"/>
    </xf>
    <xf numFmtId="2" fontId="30" fillId="33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/>
      <protection locked="0"/>
    </xf>
    <xf numFmtId="2" fontId="53" fillId="34" borderId="17" xfId="0" applyNumberFormat="1" applyFont="1" applyFill="1" applyBorder="1" applyAlignment="1">
      <alignment horizontal="center"/>
    </xf>
    <xf numFmtId="0" fontId="8" fillId="36" borderId="0" xfId="0" applyNumberFormat="1" applyFont="1" applyFill="1" applyBorder="1" applyAlignment="1" applyProtection="1">
      <alignment vertical="top"/>
    </xf>
    <xf numFmtId="0" fontId="28" fillId="36" borderId="0" xfId="0" applyNumberFormat="1" applyFont="1" applyFill="1" applyBorder="1" applyAlignment="1">
      <alignment vertical="top"/>
    </xf>
    <xf numFmtId="0" fontId="8" fillId="36" borderId="0" xfId="0" applyNumberFormat="1" applyFont="1" applyFill="1" applyBorder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8" fillId="35" borderId="0" xfId="0" applyNumberFormat="1" applyFont="1" applyFill="1" applyBorder="1" applyAlignment="1">
      <alignment vertical="top"/>
    </xf>
    <xf numFmtId="0" fontId="28" fillId="35" borderId="41" xfId="0" applyNumberFormat="1" applyFont="1" applyFill="1" applyBorder="1" applyAlignment="1">
      <alignment vertical="top"/>
    </xf>
    <xf numFmtId="0" fontId="36" fillId="35" borderId="0" xfId="0" applyNumberFormat="1" applyFont="1" applyFill="1" applyBorder="1" applyAlignment="1">
      <alignment horizontal="center" textRotation="90" wrapText="1"/>
    </xf>
    <xf numFmtId="0" fontId="36" fillId="35" borderId="41" xfId="0" applyNumberFormat="1" applyFont="1" applyFill="1" applyBorder="1" applyAlignment="1">
      <alignment horizontal="center" textRotation="90" wrapText="1"/>
    </xf>
    <xf numFmtId="0" fontId="32" fillId="35" borderId="0" xfId="0" applyNumberFormat="1" applyFont="1" applyFill="1" applyBorder="1" applyAlignment="1">
      <alignment vertical="center"/>
    </xf>
    <xf numFmtId="0" fontId="32" fillId="35" borderId="41" xfId="0" applyNumberFormat="1" applyFont="1" applyFill="1" applyBorder="1" applyAlignment="1">
      <alignment vertical="center"/>
    </xf>
    <xf numFmtId="0" fontId="36" fillId="35" borderId="0" xfId="0" applyNumberFormat="1" applyFont="1" applyFill="1" applyBorder="1" applyAlignment="1">
      <alignment horizontal="center" vertical="center" textRotation="90"/>
    </xf>
    <xf numFmtId="0" fontId="36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10" xfId="0" applyNumberFormat="1" applyFont="1" applyFill="1" applyBorder="1" applyAlignment="1" applyProtection="1">
      <alignment vertical="center"/>
      <protection locked="0"/>
    </xf>
    <xf numFmtId="0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NumberFormat="1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 applyProtection="1">
      <alignment horizontal="center" vertical="center"/>
    </xf>
    <xf numFmtId="0" fontId="36" fillId="36" borderId="27" xfId="0" applyNumberFormat="1" applyFont="1" applyFill="1" applyBorder="1" applyAlignment="1">
      <alignment horizontal="center" vertical="center" textRotation="90"/>
    </xf>
    <xf numFmtId="0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65" fillId="35" borderId="0" xfId="0" applyNumberFormat="1" applyFont="1" applyFill="1" applyProtection="1">
      <protection locked="0"/>
    </xf>
    <xf numFmtId="1" fontId="65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2" fillId="36" borderId="16" xfId="45" applyNumberFormat="1" applyFont="1" applyFill="1" applyBorder="1" applyAlignment="1" applyProtection="1">
      <protection hidden="1"/>
    </xf>
    <xf numFmtId="1" fontId="62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4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0" xfId="45" quotePrefix="1" applyNumberFormat="1" applyFont="1" applyFill="1" applyBorder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1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7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68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69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8" fillId="35" borderId="0" xfId="0" applyNumberFormat="1" applyFont="1" applyFill="1" applyBorder="1" applyAlignment="1" applyProtection="1">
      <alignment vertical="top"/>
      <protection locked="0"/>
    </xf>
    <xf numFmtId="0" fontId="36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2" fillId="35" borderId="0" xfId="0" applyNumberFormat="1" applyFont="1" applyFill="1" applyBorder="1" applyAlignment="1" applyProtection="1">
      <alignment vertical="center"/>
      <protection locked="0"/>
    </xf>
    <xf numFmtId="0" fontId="36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32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right" vertical="top"/>
    </xf>
    <xf numFmtId="9" fontId="69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8" fillId="36" borderId="0" xfId="0" applyNumberFormat="1" applyFont="1" applyFill="1" applyBorder="1" applyAlignment="1">
      <alignment horizontal="center" vertical="top"/>
    </xf>
    <xf numFmtId="2" fontId="53" fillId="30" borderId="0" xfId="0" applyNumberFormat="1" applyFont="1" applyFill="1" applyBorder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1" fillId="29" borderId="0" xfId="0" applyNumberFormat="1" applyFont="1" applyFill="1" applyBorder="1" applyAlignment="1" applyProtection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Border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 applyBorder="1"/>
    <xf numFmtId="2" fontId="38" fillId="29" borderId="0" xfId="0" applyNumberFormat="1" applyFont="1" applyFill="1" applyBorder="1" applyAlignment="1">
      <alignment horizontal="left" vertical="center" indent="1"/>
    </xf>
    <xf numFmtId="2" fontId="38" fillId="33" borderId="0" xfId="0" applyNumberFormat="1" applyFont="1" applyFill="1" applyBorder="1" applyAlignment="1">
      <alignment horizontal="left" vertical="center" wrapText="1" indent="1"/>
    </xf>
    <xf numFmtId="2" fontId="38" fillId="33" borderId="0" xfId="0" applyNumberFormat="1" applyFont="1" applyFill="1" applyBorder="1" applyAlignment="1">
      <alignment horizontal="left" vertical="center" indent="1"/>
    </xf>
    <xf numFmtId="2" fontId="32" fillId="29" borderId="0" xfId="0" applyNumberFormat="1" applyFont="1" applyFill="1" applyBorder="1" applyAlignment="1">
      <alignment vertical="center"/>
    </xf>
    <xf numFmtId="2" fontId="38" fillId="33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 applyProtection="1">
      <alignment vertical="center" wrapText="1"/>
    </xf>
    <xf numFmtId="2" fontId="73" fillId="29" borderId="0" xfId="0" applyNumberFormat="1" applyFont="1" applyFill="1" applyBorder="1" applyAlignment="1">
      <alignment vertical="center"/>
    </xf>
    <xf numFmtId="2" fontId="32" fillId="33" borderId="0" xfId="0" applyNumberFormat="1" applyFont="1" applyFill="1" applyBorder="1" applyAlignment="1">
      <alignment vertical="center"/>
    </xf>
    <xf numFmtId="2" fontId="73" fillId="33" borderId="0" xfId="0" applyNumberFormat="1" applyFont="1" applyFill="1" applyBorder="1" applyAlignment="1">
      <alignment vertical="center"/>
    </xf>
    <xf numFmtId="2" fontId="75" fillId="29" borderId="0" xfId="0" applyNumberFormat="1" applyFont="1" applyFill="1" applyBorder="1" applyAlignment="1">
      <alignment vertical="center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8" fillId="36" borderId="10" xfId="0" applyNumberFormat="1" applyFont="1" applyFill="1" applyBorder="1" applyAlignment="1" applyProtection="1">
      <alignment horizontal="left" vertical="top"/>
      <protection hidden="1"/>
    </xf>
    <xf numFmtId="0" fontId="40" fillId="36" borderId="10" xfId="0" applyNumberFormat="1" applyFont="1" applyFill="1" applyBorder="1" applyAlignment="1" applyProtection="1">
      <alignment horizontal="center" textRotation="90" wrapText="1"/>
      <protection hidden="1"/>
    </xf>
    <xf numFmtId="0" fontId="43" fillId="36" borderId="10" xfId="0" applyNumberFormat="1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 applyProtection="1">
      <alignment vertical="center"/>
      <protection locked="0"/>
    </xf>
    <xf numFmtId="0" fontId="36" fillId="36" borderId="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>
      <alignment vertical="center"/>
    </xf>
    <xf numFmtId="0" fontId="32" fillId="36" borderId="0" xfId="0" applyNumberFormat="1" applyFont="1" applyFill="1" applyBorder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8" fillId="36" borderId="0" xfId="0" applyNumberFormat="1" applyFont="1" applyFill="1" applyBorder="1" applyAlignment="1">
      <alignment horizontal="center" vertical="top"/>
    </xf>
    <xf numFmtId="0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 applyProtection="1">
      <alignment horizontal="left" vertical="top"/>
    </xf>
    <xf numFmtId="0" fontId="70" fillId="36" borderId="10" xfId="0" applyNumberFormat="1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Border="1" applyAlignment="1" applyProtection="1">
      <alignment horizontal="left" vertical="top"/>
      <protection locked="0"/>
    </xf>
    <xf numFmtId="49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>
      <alignment horizontal="left" vertical="top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8" fillId="36" borderId="0" xfId="0" applyNumberFormat="1" applyFont="1" applyFill="1" applyBorder="1" applyAlignment="1" applyProtection="1">
      <alignment horizontal="right" vertical="top"/>
    </xf>
    <xf numFmtId="0" fontId="40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NumberFormat="1" applyFont="1" applyFill="1" applyBorder="1" applyAlignment="1" applyProtection="1">
      <alignment horizontal="center" vertical="center"/>
      <protection hidden="1"/>
    </xf>
    <xf numFmtId="0" fontId="79" fillId="38" borderId="10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4" xfId="0" applyNumberFormat="1" applyFont="1" applyFill="1" applyBorder="1" applyAlignment="1" applyProtection="1">
      <alignment horizontal="center" vertical="center" wrapText="1"/>
      <protection hidden="1"/>
    </xf>
    <xf numFmtId="9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50" fillId="36" borderId="0" xfId="0" applyNumberFormat="1" applyFont="1" applyFill="1" applyBorder="1" applyAlignment="1" applyProtection="1">
      <alignment horizontal="center" vertical="top"/>
      <protection locked="0"/>
    </xf>
    <xf numFmtId="0" fontId="39" fillId="36" borderId="0" xfId="0" applyNumberFormat="1" applyFont="1" applyFill="1" applyBorder="1" applyAlignment="1">
      <alignment horizontal="center" vertical="center"/>
    </xf>
    <xf numFmtId="0" fontId="57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9" xfId="0" applyNumberFormat="1" applyFont="1" applyFill="1" applyBorder="1" applyAlignment="1" applyProtection="1">
      <alignment horizontal="center" vertical="top" wrapText="1"/>
      <protection hidden="1"/>
    </xf>
    <xf numFmtId="2" fontId="55" fillId="28" borderId="0" xfId="44" applyNumberFormat="1" applyFont="1" applyFill="1" applyBorder="1" applyAlignment="1" applyProtection="1">
      <alignment horizontal="center" vertical="center" wrapText="1"/>
    </xf>
    <xf numFmtId="2" fontId="56" fillId="28" borderId="0" xfId="0" applyNumberFormat="1" applyFont="1" applyFill="1" applyBorder="1" applyAlignment="1">
      <alignment horizontal="center" vertical="center"/>
    </xf>
    <xf numFmtId="2" fontId="67" fillId="32" borderId="0" xfId="0" applyNumberFormat="1" applyFont="1" applyFill="1" applyBorder="1" applyAlignment="1">
      <alignment horizontal="center" vertical="center"/>
    </xf>
    <xf numFmtId="2" fontId="49" fillId="27" borderId="11" xfId="0" applyNumberFormat="1" applyFont="1" applyFill="1" applyBorder="1" applyAlignment="1">
      <alignment horizontal="center" vertical="center"/>
    </xf>
    <xf numFmtId="1" fontId="58" fillId="31" borderId="0" xfId="0" applyNumberFormat="1" applyFont="1" applyFill="1" applyBorder="1" applyAlignment="1">
      <alignment horizontal="center" vertical="center" wrapText="1"/>
    </xf>
    <xf numFmtId="1" fontId="76" fillId="30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3" fillId="30" borderId="0" xfId="0" applyNumberFormat="1" applyFont="1" applyFill="1" applyBorder="1" applyAlignment="1">
      <alignment horizontal="center" vertical="center"/>
    </xf>
    <xf numFmtId="0" fontId="32" fillId="0" borderId="12" xfId="37" applyFont="1" applyFill="1" applyBorder="1" applyAlignment="1" applyProtection="1">
      <alignment horizontal="left" vertical="center"/>
      <protection hidden="1"/>
    </xf>
    <xf numFmtId="0" fontId="32" fillId="0" borderId="13" xfId="37" applyFont="1" applyFill="1" applyBorder="1" applyAlignment="1" applyProtection="1">
      <alignment horizontal="left" vertical="center"/>
      <protection hidden="1"/>
    </xf>
    <xf numFmtId="0" fontId="32" fillId="0" borderId="14" xfId="37" applyFont="1" applyFill="1" applyBorder="1" applyAlignment="1" applyProtection="1">
      <alignment horizontal="left" vertical="center"/>
      <protection hidden="1"/>
    </xf>
    <xf numFmtId="0" fontId="37" fillId="0" borderId="0" xfId="37" applyFont="1" applyFill="1" applyBorder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7" fillId="0" borderId="0" xfId="37" applyFont="1" applyFill="1" applyAlignment="1">
      <alignment horizontal="center" vertical="top" wrapText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73" fillId="0" borderId="12" xfId="37" applyFont="1" applyBorder="1" applyAlignment="1" applyProtection="1">
      <alignment horizontal="left" vertical="center"/>
      <protection hidden="1"/>
    </xf>
    <xf numFmtId="0" fontId="73" fillId="0" borderId="13" xfId="37" applyFont="1" applyBorder="1" applyAlignment="1" applyProtection="1">
      <alignment horizontal="left" vertical="center"/>
      <protection hidden="1"/>
    </xf>
    <xf numFmtId="0" fontId="73" fillId="0" borderId="14" xfId="37" applyFont="1" applyBorder="1" applyAlignment="1" applyProtection="1">
      <alignment horizontal="left" vertical="center"/>
      <protection hidden="1"/>
    </xf>
    <xf numFmtId="0" fontId="73" fillId="0" borderId="10" xfId="37" applyFont="1" applyBorder="1" applyAlignment="1" applyProtection="1">
      <alignment horizontal="left" vertical="center"/>
      <protection hidden="1"/>
    </xf>
    <xf numFmtId="0" fontId="74" fillId="0" borderId="0" xfId="37" applyFont="1" applyAlignment="1" applyProtection="1">
      <alignment horizontal="center" vertical="center"/>
      <protection hidden="1"/>
    </xf>
    <xf numFmtId="0" fontId="30" fillId="0" borderId="0" xfId="37" applyFont="1" applyBorder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Fill="1" applyBorder="1" applyAlignment="1" applyProtection="1">
      <alignment horizontal="center" vertical="center"/>
      <protection hidden="1"/>
    </xf>
    <xf numFmtId="0" fontId="36" fillId="0" borderId="34" xfId="37" applyFont="1" applyFill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32" xfId="38" applyFont="1" applyFill="1" applyBorder="1" applyAlignment="1" applyProtection="1">
      <alignment horizontal="left" vertical="center"/>
      <protection hidden="1"/>
    </xf>
    <xf numFmtId="0" fontId="36" fillId="0" borderId="32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44" fillId="0" borderId="0" xfId="37" applyFont="1" applyFill="1" applyAlignment="1">
      <alignment horizontal="center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5" fillId="0" borderId="10" xfId="37" applyFont="1" applyBorder="1" applyAlignment="1" applyProtection="1">
      <alignment horizontal="left" vertical="center"/>
      <protection hidden="1"/>
    </xf>
    <xf numFmtId="0" fontId="5" fillId="0" borderId="21" xfId="37" applyFont="1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Fill="1" applyBorder="1" applyAlignment="1" applyProtection="1">
      <alignment horizontal="left" vertical="center"/>
      <protection hidden="1"/>
    </xf>
    <xf numFmtId="0" fontId="36" fillId="0" borderId="0" xfId="37" applyFont="1" applyBorder="1" applyAlignment="1">
      <alignment horizontal="center" vertical="center"/>
    </xf>
    <xf numFmtId="0" fontId="36" fillId="0" borderId="0" xfId="37" applyFont="1" applyBorder="1" applyAlignment="1">
      <alignment horizontal="center"/>
    </xf>
    <xf numFmtId="0" fontId="1" fillId="0" borderId="22" xfId="37" applyFont="1" applyBorder="1" applyAlignment="1" applyProtection="1">
      <alignment horizontal="center" vertical="top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Fill="1" applyBorder="1" applyAlignment="1" applyProtection="1">
      <alignment horizontal="left" vertical="center"/>
      <protection hidden="1"/>
    </xf>
    <xf numFmtId="0" fontId="31" fillId="0" borderId="14" xfId="37" applyFont="1" applyFill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42" fillId="0" borderId="0" xfId="37" applyFont="1" applyAlignment="1" applyProtection="1">
      <alignment horizontal="center" vertical="center"/>
      <protection hidden="1"/>
    </xf>
    <xf numFmtId="0" fontId="77" fillId="0" borderId="12" xfId="37" applyFont="1" applyBorder="1" applyAlignment="1" applyProtection="1">
      <alignment horizontal="right" vertical="center"/>
      <protection hidden="1"/>
    </xf>
    <xf numFmtId="0" fontId="77" fillId="0" borderId="13" xfId="37" applyFont="1" applyBorder="1" applyAlignment="1" applyProtection="1">
      <alignment horizontal="right" vertical="center"/>
      <protection hidden="1"/>
    </xf>
    <xf numFmtId="0" fontId="77" fillId="0" borderId="14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6" fillId="0" borderId="0" xfId="37" applyFont="1" applyBorder="1" applyAlignment="1">
      <alignment horizontal="center" vertical="center"/>
    </xf>
    <xf numFmtId="1" fontId="65" fillId="36" borderId="17" xfId="0" applyNumberFormat="1" applyFont="1" applyFill="1" applyBorder="1" applyAlignment="1" applyProtection="1">
      <alignment horizontal="center"/>
      <protection locked="0"/>
    </xf>
    <xf numFmtId="1" fontId="65" fillId="36" borderId="19" xfId="0" applyNumberFormat="1" applyFont="1" applyFill="1" applyBorder="1" applyAlignment="1" applyProtection="1">
      <alignment horizontal="center"/>
      <protection locked="0"/>
    </xf>
    <xf numFmtId="0" fontId="0" fillId="36" borderId="0" xfId="0" applyFill="1" applyAlignment="1">
      <alignment horizontal="center"/>
    </xf>
    <xf numFmtId="1" fontId="5" fillId="36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60" fillId="36" borderId="18" xfId="0" applyNumberFormat="1" applyFont="1" applyFill="1" applyBorder="1" applyAlignment="1" applyProtection="1">
      <alignment horizontal="center"/>
      <protection hidden="1"/>
    </xf>
    <xf numFmtId="1" fontId="60" fillId="36" borderId="17" xfId="0" applyNumberFormat="1" applyFont="1" applyFill="1" applyBorder="1" applyAlignment="1" applyProtection="1">
      <alignment horizontal="center"/>
      <protection hidden="1"/>
    </xf>
    <xf numFmtId="1" fontId="60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1" fillId="36" borderId="36" xfId="0" applyNumberFormat="1" applyFont="1" applyFill="1" applyBorder="1" applyAlignment="1" applyProtection="1">
      <alignment horizontal="center"/>
      <protection hidden="1"/>
    </xf>
    <xf numFmtId="1" fontId="61" fillId="36" borderId="0" xfId="0" applyNumberFormat="1" applyFont="1" applyFill="1" applyBorder="1" applyAlignment="1" applyProtection="1">
      <alignment horizontal="center"/>
      <protection hidden="1"/>
    </xf>
    <xf numFmtId="1" fontId="61" fillId="36" borderId="35" xfId="0" applyNumberFormat="1" applyFont="1" applyFill="1" applyBorder="1" applyAlignment="1" applyProtection="1">
      <alignment horizontal="center"/>
      <protection hidden="1"/>
    </xf>
    <xf numFmtId="1" fontId="61" fillId="36" borderId="16" xfId="0" applyNumberFormat="1" applyFont="1" applyFill="1" applyBorder="1" applyAlignment="1" applyProtection="1">
      <alignment horizontal="center"/>
      <protection hidden="1"/>
    </xf>
    <xf numFmtId="1" fontId="61" fillId="36" borderId="11" xfId="0" applyNumberFormat="1" applyFont="1" applyFill="1" applyBorder="1" applyAlignment="1" applyProtection="1">
      <alignment horizontal="center"/>
      <protection hidden="1"/>
    </xf>
    <xf numFmtId="1" fontId="61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62" fillId="36" borderId="45" xfId="45" applyNumberFormat="1" applyFont="1" applyFill="1" applyBorder="1" applyAlignment="1" applyProtection="1">
      <alignment horizontal="left" vertical="top"/>
      <protection hidden="1"/>
    </xf>
    <xf numFmtId="1" fontId="62" fillId="36" borderId="17" xfId="45" applyNumberFormat="1" applyFont="1" applyFill="1" applyBorder="1" applyAlignment="1" applyProtection="1">
      <alignment horizontal="left" vertical="top"/>
      <protection hidden="1"/>
    </xf>
    <xf numFmtId="1" fontId="62" fillId="36" borderId="19" xfId="45" applyNumberFormat="1" applyFont="1" applyFill="1" applyBorder="1" applyAlignment="1" applyProtection="1">
      <alignment horizontal="left" vertical="top"/>
      <protection hidden="1"/>
    </xf>
    <xf numFmtId="1" fontId="62" fillId="36" borderId="47" xfId="45" applyNumberFormat="1" applyFont="1" applyFill="1" applyBorder="1" applyAlignment="1" applyProtection="1">
      <alignment horizontal="left" vertical="top"/>
      <protection hidden="1"/>
    </xf>
    <xf numFmtId="1" fontId="62" fillId="36" borderId="0" xfId="45" applyNumberFormat="1" applyFont="1" applyFill="1" applyBorder="1" applyAlignment="1" applyProtection="1">
      <alignment horizontal="left" vertical="top"/>
      <protection hidden="1"/>
    </xf>
    <xf numFmtId="1" fontId="62" fillId="36" borderId="35" xfId="45" applyNumberFormat="1" applyFont="1" applyFill="1" applyBorder="1" applyAlignment="1" applyProtection="1">
      <alignment horizontal="left" vertical="top"/>
      <protection hidden="1"/>
    </xf>
    <xf numFmtId="1" fontId="62" fillId="36" borderId="49" xfId="45" applyNumberFormat="1" applyFont="1" applyFill="1" applyBorder="1" applyAlignment="1" applyProtection="1">
      <alignment horizontal="left" vertical="top"/>
      <protection hidden="1"/>
    </xf>
    <xf numFmtId="1" fontId="62" fillId="36" borderId="11" xfId="45" applyNumberFormat="1" applyFont="1" applyFill="1" applyBorder="1" applyAlignment="1" applyProtection="1">
      <alignment horizontal="left" vertical="top"/>
      <protection hidden="1"/>
    </xf>
    <xf numFmtId="1" fontId="62" fillId="36" borderId="20" xfId="45" applyNumberFormat="1" applyFont="1" applyFill="1" applyBorder="1" applyAlignment="1" applyProtection="1">
      <alignment horizontal="left" vertical="top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60" fillId="36" borderId="18" xfId="0" applyNumberFormat="1" applyFont="1" applyFill="1" applyBorder="1" applyAlignment="1" applyProtection="1">
      <alignment horizontal="center" vertical="center"/>
      <protection hidden="1"/>
    </xf>
    <xf numFmtId="1" fontId="60" fillId="36" borderId="17" xfId="0" applyNumberFormat="1" applyFont="1" applyFill="1" applyBorder="1" applyAlignment="1" applyProtection="1">
      <alignment vertical="center"/>
      <protection hidden="1"/>
    </xf>
    <xf numFmtId="1" fontId="60" fillId="36" borderId="19" xfId="0" applyNumberFormat="1" applyFont="1" applyFill="1" applyBorder="1" applyAlignment="1" applyProtection="1">
      <alignment vertical="center"/>
      <protection hidden="1"/>
    </xf>
    <xf numFmtId="1" fontId="60" fillId="36" borderId="16" xfId="0" applyNumberFormat="1" applyFont="1" applyFill="1" applyBorder="1" applyAlignment="1" applyProtection="1">
      <alignment vertical="center"/>
      <protection hidden="1"/>
    </xf>
    <xf numFmtId="1" fontId="60" fillId="36" borderId="11" xfId="0" applyNumberFormat="1" applyFont="1" applyFill="1" applyBorder="1" applyAlignment="1" applyProtection="1">
      <alignment vertical="center"/>
      <protection hidden="1"/>
    </xf>
    <xf numFmtId="1" fontId="60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62" fillId="36" borderId="18" xfId="45" applyNumberFormat="1" applyFont="1" applyFill="1" applyBorder="1" applyAlignment="1" applyProtection="1">
      <alignment horizontal="center"/>
      <protection hidden="1"/>
    </xf>
    <xf numFmtId="1" fontId="62" fillId="36" borderId="17" xfId="45" applyNumberFormat="1" applyFont="1" applyFill="1" applyBorder="1" applyAlignment="1" applyProtection="1">
      <alignment horizontal="center"/>
      <protection hidden="1"/>
    </xf>
    <xf numFmtId="1" fontId="62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2" fillId="36" borderId="36" xfId="45" applyNumberFormat="1" applyFont="1" applyFill="1" applyBorder="1" applyAlignment="1" applyProtection="1">
      <alignment horizontal="center"/>
      <protection hidden="1"/>
    </xf>
    <xf numFmtId="1" fontId="62" fillId="36" borderId="0" xfId="45" applyNumberFormat="1" applyFont="1" applyFill="1" applyBorder="1" applyAlignment="1" applyProtection="1">
      <alignment horizontal="center"/>
      <protection hidden="1"/>
    </xf>
    <xf numFmtId="1" fontId="62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3" fillId="36" borderId="12" xfId="45" applyNumberFormat="1" applyFont="1" applyFill="1" applyBorder="1" applyAlignment="1" applyProtection="1">
      <alignment horizontal="center"/>
      <protection hidden="1"/>
    </xf>
    <xf numFmtId="1" fontId="63" fillId="36" borderId="13" xfId="45" applyNumberFormat="1" applyFont="1" applyFill="1" applyBorder="1" applyAlignment="1" applyProtection="1">
      <alignment horizontal="center"/>
      <protection hidden="1"/>
    </xf>
    <xf numFmtId="1" fontId="63" fillId="36" borderId="14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5" fillId="36" borderId="16" xfId="0" applyNumberFormat="1" applyFont="1" applyFill="1" applyBorder="1" applyAlignment="1" applyProtection="1">
      <alignment horizontal="center"/>
      <protection hidden="1"/>
    </xf>
    <xf numFmtId="1" fontId="45" fillId="36" borderId="11" xfId="0" applyNumberFormat="1" applyFont="1" applyFill="1" applyBorder="1" applyAlignment="1" applyProtection="1">
      <alignment horizontal="center"/>
      <protection hidden="1"/>
    </xf>
    <xf numFmtId="1" fontId="45" fillId="36" borderId="0" xfId="0" applyNumberFormat="1" applyFont="1" applyFill="1" applyBorder="1" applyAlignment="1" applyProtection="1">
      <alignment horizontal="center"/>
      <protection hidden="1"/>
    </xf>
    <xf numFmtId="1" fontId="45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64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6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6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8" fillId="36" borderId="52" xfId="45" applyNumberFormat="1" applyFont="1" applyFill="1" applyBorder="1" applyAlignment="1" applyProtection="1">
      <alignment horizontal="center"/>
      <protection locked="0" hidden="1"/>
    </xf>
    <xf numFmtId="1" fontId="45" fillId="36" borderId="36" xfId="45" applyNumberFormat="1" applyFont="1" applyFill="1" applyBorder="1" applyAlignment="1" applyProtection="1">
      <alignment horizontal="center"/>
      <protection hidden="1"/>
    </xf>
    <xf numFmtId="1" fontId="45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3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3" name="Rounded Rectangle 2"/>
        <xdr:cNvSpPr/>
      </xdr:nvSpPr>
      <xdr:spPr>
        <a:xfrm>
          <a:off x="6800850" y="95250"/>
          <a:ext cx="1743075" cy="3238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</a:t>
          </a:r>
          <a:r>
            <a:rPr lang="en-US" sz="1100" baseline="0"/>
            <a:t> NEW</a:t>
          </a:r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hika%20Meghwal/Desktop/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  <cell r="D6" t="str">
            <v>HANUMAN SAHAY REGAR</v>
          </cell>
        </row>
        <row r="8">
          <cell r="D8" t="str">
            <v>PRINCIPAL</v>
          </cell>
        </row>
      </sheetData>
      <sheetData sheetId="1" refreshError="1"/>
      <sheetData sheetId="2">
        <row r="9">
          <cell r="B9">
            <v>0</v>
          </cell>
        </row>
      </sheetData>
      <sheetData sheetId="3">
        <row r="33">
          <cell r="Q33">
            <v>0</v>
          </cell>
        </row>
        <row r="55">
          <cell r="Q55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P955"/>
  <sheetViews>
    <sheetView showGridLines="0" tabSelected="1" zoomScale="85" zoomScaleNormal="85" workbookViewId="0">
      <selection activeCell="H9" sqref="H9"/>
    </sheetView>
  </sheetViews>
  <sheetFormatPr defaultColWidth="0" defaultRowHeight="12.75" zeroHeight="1"/>
  <cols>
    <col min="1" max="1" width="0.42578125" style="61" customWidth="1" collapsed="1"/>
    <col min="2" max="2" width="3.85546875" style="61" hidden="1" customWidth="1" collapsed="1"/>
    <col min="3" max="3" width="14.5703125" style="90" customWidth="1" collapsed="1"/>
    <col min="4" max="4" width="9.140625" style="90" customWidth="1" collapsed="1"/>
    <col min="5" max="7" width="5" style="90" customWidth="1" collapsed="1"/>
    <col min="8" max="8" width="9.85546875" style="90" customWidth="1" collapsed="1"/>
    <col min="9" max="9" width="6.85546875" style="90" customWidth="1" collapsed="1"/>
    <col min="10" max="10" width="5" style="90" customWidth="1" collapsed="1"/>
    <col min="11" max="13" width="6" style="90" customWidth="1" collapsed="1"/>
    <col min="14" max="14" width="8.42578125" style="90" customWidth="1" collapsed="1"/>
    <col min="15" max="15" width="8.7109375" style="90" customWidth="1" collapsed="1"/>
    <col min="16" max="16" width="5.85546875" style="90" customWidth="1" collapsed="1"/>
    <col min="17" max="17" width="5.7109375" style="90" customWidth="1" collapsed="1"/>
    <col min="18" max="18" width="8.85546875" style="90" customWidth="1" collapsed="1"/>
    <col min="19" max="19" width="5.5703125" style="90" customWidth="1" collapsed="1"/>
    <col min="20" max="20" width="8.28515625" style="90" customWidth="1" collapsed="1"/>
    <col min="21" max="21" width="6.42578125" style="90" bestFit="1" customWidth="1" collapsed="1"/>
    <col min="22" max="23" width="6" style="90" customWidth="1" collapsed="1"/>
    <col min="24" max="24" width="7.7109375" style="90" customWidth="1" collapsed="1"/>
    <col min="25" max="25" width="6" style="90" customWidth="1" collapsed="1"/>
    <col min="26" max="26" width="6" style="90" customWidth="1"/>
    <col min="27" max="27" width="10.5703125" style="90" customWidth="1" collapsed="1"/>
    <col min="28" max="28" width="12.42578125" style="90" customWidth="1" collapsed="1"/>
    <col min="29" max="29" width="15.42578125" style="90" customWidth="1" collapsed="1"/>
    <col min="30" max="31" width="9.140625" style="213" hidden="1" customWidth="1"/>
    <col min="32" max="16384" width="9.140625" style="61" hidden="1" collapsed="1"/>
  </cols>
  <sheetData>
    <row r="1" spans="2:42" ht="31.5" customHeight="1">
      <c r="C1" s="275" t="s">
        <v>223</v>
      </c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05" t="s">
        <v>80</v>
      </c>
      <c r="AE1" s="205" t="s">
        <v>80</v>
      </c>
    </row>
    <row r="2" spans="2:42" ht="28.5" customHeight="1">
      <c r="C2" s="202" t="s">
        <v>224</v>
      </c>
      <c r="D2" s="281" t="s">
        <v>80</v>
      </c>
      <c r="E2" s="282"/>
      <c r="F2" s="276" t="s">
        <v>44</v>
      </c>
      <c r="G2" s="277"/>
      <c r="H2" s="277"/>
      <c r="I2" s="281" t="s">
        <v>80</v>
      </c>
      <c r="J2" s="282"/>
      <c r="K2" s="276" t="s">
        <v>225</v>
      </c>
      <c r="L2" s="277"/>
      <c r="M2" s="277"/>
      <c r="N2" s="277"/>
      <c r="O2" s="203">
        <v>10</v>
      </c>
      <c r="P2" s="276" t="s">
        <v>64</v>
      </c>
      <c r="Q2" s="278"/>
      <c r="R2" s="204">
        <v>0.09</v>
      </c>
      <c r="S2" s="276" t="s">
        <v>227</v>
      </c>
      <c r="T2" s="277"/>
      <c r="U2" s="278"/>
      <c r="V2" s="279" t="s">
        <v>80</v>
      </c>
      <c r="W2" s="280"/>
      <c r="X2" s="276" t="s">
        <v>226</v>
      </c>
      <c r="Y2" s="277"/>
      <c r="Z2" s="277"/>
      <c r="AA2" s="278"/>
      <c r="AB2" s="203" t="s">
        <v>60</v>
      </c>
      <c r="AC2" s="202"/>
      <c r="AD2" s="205" t="s">
        <v>60</v>
      </c>
      <c r="AE2" s="205" t="s">
        <v>60</v>
      </c>
    </row>
    <row r="3" spans="2:42" ht="20.25" customHeight="1" thickBot="1">
      <c r="C3" s="285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7"/>
      <c r="AD3" s="206">
        <v>0.09</v>
      </c>
      <c r="AE3" s="207"/>
    </row>
    <row r="4" spans="2:42" ht="36" customHeight="1">
      <c r="B4" s="62"/>
      <c r="C4" s="283" t="s">
        <v>345</v>
      </c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17">
        <v>0.18</v>
      </c>
      <c r="AE4" s="207"/>
    </row>
    <row r="5" spans="2:42" ht="32.1" customHeight="1">
      <c r="B5" s="63"/>
      <c r="C5" s="284" t="s">
        <v>346</v>
      </c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4"/>
      <c r="T5" s="284"/>
      <c r="U5" s="284"/>
      <c r="V5" s="284"/>
      <c r="W5" s="284"/>
      <c r="X5" s="284"/>
      <c r="Y5" s="284"/>
      <c r="Z5" s="284"/>
      <c r="AA5" s="284"/>
      <c r="AB5" s="284"/>
      <c r="AC5" s="284"/>
      <c r="AD5" s="218"/>
      <c r="AE5" s="207"/>
    </row>
    <row r="6" spans="2:42" s="64" customFormat="1" ht="20.45" customHeight="1">
      <c r="B6" s="65"/>
      <c r="C6" s="220" t="s">
        <v>69</v>
      </c>
      <c r="D6" s="269" t="s">
        <v>220</v>
      </c>
      <c r="E6" s="270"/>
      <c r="F6" s="270"/>
      <c r="G6" s="270"/>
      <c r="H6" s="270"/>
      <c r="I6" s="268"/>
      <c r="J6" s="268"/>
      <c r="K6" s="262" t="s">
        <v>70</v>
      </c>
      <c r="L6" s="262"/>
      <c r="M6" s="262"/>
      <c r="N6" s="262"/>
      <c r="O6" s="215" t="s">
        <v>19</v>
      </c>
      <c r="P6" s="262" t="s">
        <v>71</v>
      </c>
      <c r="Q6" s="262"/>
      <c r="R6" s="262"/>
      <c r="S6" s="42"/>
      <c r="T6" s="216" t="s">
        <v>59</v>
      </c>
      <c r="U6" s="262" t="s">
        <v>72</v>
      </c>
      <c r="V6" s="262"/>
      <c r="W6" s="262"/>
      <c r="X6" s="43"/>
      <c r="Y6" s="267" t="s">
        <v>74</v>
      </c>
      <c r="Z6" s="267"/>
      <c r="AA6" s="267"/>
      <c r="AB6" s="265" t="s">
        <v>73</v>
      </c>
      <c r="AC6" s="266"/>
      <c r="AD6" s="219" t="s">
        <v>80</v>
      </c>
      <c r="AE6" s="205" t="s">
        <v>80</v>
      </c>
    </row>
    <row r="7" spans="2:42" s="64" customFormat="1" ht="22.5" customHeight="1">
      <c r="B7" s="65"/>
      <c r="C7" s="215"/>
      <c r="D7" s="270"/>
      <c r="E7" s="270"/>
      <c r="F7" s="270"/>
      <c r="G7" s="270"/>
      <c r="H7" s="270"/>
      <c r="I7" s="271"/>
      <c r="J7" s="271"/>
      <c r="K7" s="44"/>
      <c r="L7" s="44"/>
      <c r="M7" s="264" t="s">
        <v>79</v>
      </c>
      <c r="N7" s="264"/>
      <c r="O7" s="264"/>
      <c r="P7" s="264"/>
      <c r="Q7" s="264"/>
      <c r="R7" s="264"/>
      <c r="S7" s="264"/>
      <c r="T7" s="264"/>
      <c r="U7" s="44"/>
      <c r="V7" s="44"/>
      <c r="W7" s="42"/>
      <c r="X7" s="42"/>
      <c r="Y7" s="263" t="s">
        <v>75</v>
      </c>
      <c r="Z7" s="263"/>
      <c r="AA7" s="263"/>
      <c r="AB7" s="262">
        <v>9784379510</v>
      </c>
      <c r="AC7" s="262"/>
      <c r="AD7" s="219" t="s">
        <v>60</v>
      </c>
      <c r="AE7" s="205" t="s">
        <v>60</v>
      </c>
    </row>
    <row r="8" spans="2:42" s="64" customFormat="1" ht="22.5" customHeight="1">
      <c r="B8" s="65"/>
      <c r="C8" s="272" t="s">
        <v>8</v>
      </c>
      <c r="D8" s="273" t="s">
        <v>222</v>
      </c>
      <c r="E8" s="273"/>
      <c r="F8" s="273"/>
      <c r="G8" s="273"/>
      <c r="H8" s="273"/>
      <c r="I8" s="273"/>
      <c r="J8" s="273"/>
      <c r="K8" s="273"/>
      <c r="L8" s="273"/>
      <c r="M8" s="273"/>
      <c r="N8" s="273"/>
      <c r="O8" s="274" t="s">
        <v>221</v>
      </c>
      <c r="P8" s="274"/>
      <c r="Q8" s="274"/>
      <c r="R8" s="274"/>
      <c r="S8" s="274"/>
      <c r="T8" s="274"/>
      <c r="U8" s="274"/>
      <c r="V8" s="274"/>
      <c r="W8" s="274"/>
      <c r="X8" s="274"/>
      <c r="Y8" s="274"/>
      <c r="Z8" s="274"/>
      <c r="AA8" s="274"/>
      <c r="AB8" s="245"/>
      <c r="AC8" s="272" t="s">
        <v>77</v>
      </c>
      <c r="AD8" s="208"/>
      <c r="AE8" s="208"/>
    </row>
    <row r="9" spans="2:42" s="66" customFormat="1" ht="108.75" customHeight="1">
      <c r="B9" s="67"/>
      <c r="C9" s="272"/>
      <c r="D9" s="246" t="s">
        <v>2</v>
      </c>
      <c r="E9" s="246" t="s">
        <v>3</v>
      </c>
      <c r="F9" s="246" t="s">
        <v>47</v>
      </c>
      <c r="G9" s="246" t="s">
        <v>16</v>
      </c>
      <c r="H9" s="246" t="s">
        <v>17</v>
      </c>
      <c r="I9" s="246" t="s">
        <v>63</v>
      </c>
      <c r="J9" s="246" t="s">
        <v>53</v>
      </c>
      <c r="K9" s="246" t="s">
        <v>57</v>
      </c>
      <c r="L9" s="246" t="s">
        <v>61</v>
      </c>
      <c r="M9" s="246" t="s">
        <v>62</v>
      </c>
      <c r="N9" s="247" t="s">
        <v>52</v>
      </c>
      <c r="O9" s="246" t="str">
        <f>IF(D2="No","GPF","GPF 2004")</f>
        <v>GPF 2004</v>
      </c>
      <c r="P9" s="246" t="str">
        <f>IF(D2="No","GPF LOAN","")</f>
        <v/>
      </c>
      <c r="Q9" s="246" t="s">
        <v>9</v>
      </c>
      <c r="R9" s="246" t="s">
        <v>1</v>
      </c>
      <c r="S9" s="246" t="s">
        <v>82</v>
      </c>
      <c r="T9" s="246" t="s">
        <v>6</v>
      </c>
      <c r="U9" s="246" t="s">
        <v>56</v>
      </c>
      <c r="V9" s="246" t="s">
        <v>50</v>
      </c>
      <c r="W9" s="246" t="s">
        <v>49</v>
      </c>
      <c r="X9" s="246" t="s">
        <v>46</v>
      </c>
      <c r="Y9" s="246" t="s">
        <v>81</v>
      </c>
      <c r="Z9" s="246" t="s">
        <v>218</v>
      </c>
      <c r="AA9" s="246" t="s">
        <v>51</v>
      </c>
      <c r="AB9" s="247" t="s">
        <v>58</v>
      </c>
      <c r="AC9" s="272"/>
      <c r="AD9" s="209"/>
      <c r="AE9" s="209"/>
    </row>
    <row r="10" spans="2:42" s="68" customFormat="1" ht="18.95" customHeight="1">
      <c r="B10" s="69">
        <v>3</v>
      </c>
      <c r="C10" s="73">
        <v>44986</v>
      </c>
      <c r="D10" s="214">
        <v>38900</v>
      </c>
      <c r="E10" s="74">
        <v>0</v>
      </c>
      <c r="F10" s="74">
        <v>0</v>
      </c>
      <c r="G10" s="74">
        <v>0</v>
      </c>
      <c r="H10" s="74">
        <f>ROUND(38%*D10,0)</f>
        <v>14782</v>
      </c>
      <c r="I10" s="74">
        <f>IF($R$2=18%,ROUND(0.18*D10,0),ROUND(0.09*D10,0))</f>
        <v>3501</v>
      </c>
      <c r="J10" s="74">
        <v>0</v>
      </c>
      <c r="K10" s="74">
        <v>0</v>
      </c>
      <c r="L10" s="74">
        <v>0</v>
      </c>
      <c r="M10" s="74">
        <v>0</v>
      </c>
      <c r="N10" s="75">
        <f>SUM(D10:M10)</f>
        <v>57183</v>
      </c>
      <c r="O10" s="74">
        <f>IF(D10&lt;23101,1450,IF(D10&lt;28501,1625,IF(D10&lt;38501,2100,IF(D10&lt;51501,2850,IF(D10&lt;62001,3575,IF(D10&lt;72001,4200,IF(D10&lt;80001,4800,IF(D10&lt;116001,6150,IF(D10&lt;167001,8900,10500)))))))))</f>
        <v>2850</v>
      </c>
      <c r="P10" s="74">
        <v>0</v>
      </c>
      <c r="Q10" s="74">
        <v>3000</v>
      </c>
      <c r="R10" s="74">
        <v>0</v>
      </c>
      <c r="S10" s="74">
        <f>IF(D10&lt;18001,265,IF(D10&lt;33501,440,IF(D10&lt;54001,658,875)))</f>
        <v>658</v>
      </c>
      <c r="T10" s="74">
        <v>5520</v>
      </c>
      <c r="U10" s="74">
        <v>0</v>
      </c>
      <c r="V10" s="74"/>
      <c r="W10" s="74"/>
      <c r="X10" s="74">
        <v>0</v>
      </c>
      <c r="Y10" s="76"/>
      <c r="Z10" s="77"/>
      <c r="AA10" s="78">
        <f>SUM(O10:Y10)</f>
        <v>12028</v>
      </c>
      <c r="AB10" s="79">
        <f t="shared" ref="AB10:AB30" si="0">N10-AA10</f>
        <v>45155</v>
      </c>
      <c r="AC10" s="80"/>
      <c r="AD10" s="250"/>
      <c r="AE10" s="251">
        <v>4</v>
      </c>
      <c r="AF10" s="252" t="str">
        <f>IF(AE10='GA-55'!$O$2,"Yes","No")</f>
        <v>No</v>
      </c>
      <c r="AG10" s="253">
        <f>IF(AF10="Yes",ROUND(D10/2,0),0)</f>
        <v>0</v>
      </c>
      <c r="AH10" s="253">
        <f>IF(AF10="Yes",ROUND(H10/2,0),0)</f>
        <v>0</v>
      </c>
      <c r="AI10" s="253">
        <f>AG10+AH10</f>
        <v>0</v>
      </c>
      <c r="AJ10" s="253">
        <f>IF(AF10="yes",(D11*0.04/2),0)</f>
        <v>0</v>
      </c>
      <c r="AK10" s="252"/>
      <c r="AL10" s="252"/>
      <c r="AM10" s="252"/>
      <c r="AN10" s="252"/>
      <c r="AO10" s="252"/>
      <c r="AP10" s="252"/>
    </row>
    <row r="11" spans="2:42" s="68" customFormat="1" ht="18.95" customHeight="1">
      <c r="B11" s="69">
        <v>4</v>
      </c>
      <c r="C11" s="73">
        <v>45017</v>
      </c>
      <c r="D11" s="74">
        <f t="shared" ref="D11:D13" si="1">D10</f>
        <v>38900</v>
      </c>
      <c r="E11" s="74">
        <f>IF(E$10=0,0,ROUND(D11/2,0))</f>
        <v>0</v>
      </c>
      <c r="F11" s="74">
        <f t="shared" ref="F11:G16" si="2">IF(F$10=0,0,F10)</f>
        <v>0</v>
      </c>
      <c r="G11" s="74">
        <f t="shared" si="2"/>
        <v>0</v>
      </c>
      <c r="H11" s="74">
        <f>ROUND(42%*D11,0)</f>
        <v>16338</v>
      </c>
      <c r="I11" s="74">
        <f t="shared" ref="I11:I21" si="3">IF($R$2=18%,ROUND(0.18*D11,0),ROUND(0.09*D11,0))</f>
        <v>3501</v>
      </c>
      <c r="J11" s="74">
        <f t="shared" ref="J11:J21" si="4">IF(J$10=0,0,J10)</f>
        <v>0</v>
      </c>
      <c r="K11" s="74">
        <f t="shared" ref="K11:L21" si="5">IF(K$10=0,0,K10)</f>
        <v>0</v>
      </c>
      <c r="L11" s="74">
        <f t="shared" si="5"/>
        <v>0</v>
      </c>
      <c r="M11" s="74">
        <f t="shared" ref="M11:M21" si="6">IF(M$10=0,0,M10)</f>
        <v>0</v>
      </c>
      <c r="N11" s="75">
        <f t="shared" ref="N11:N30" si="7">SUM(D11:M11)</f>
        <v>58739</v>
      </c>
      <c r="O11" s="74">
        <f t="shared" ref="O11:O21" si="8">IF(D11&lt;23101,1450,IF(D11&lt;28501,1625,IF(D11&lt;38501,2100,IF(D11&lt;51501,2850,IF(D11&lt;62001,3575,IF(D11&lt;72001,4200,IF(D11&lt;80001,4800,IF(D11&lt;116001,6150,IF(D11&lt;167001,8900,10500)))))))))</f>
        <v>2850</v>
      </c>
      <c r="P11" s="74">
        <f>P10</f>
        <v>0</v>
      </c>
      <c r="Q11" s="74">
        <f>Q10</f>
        <v>3000</v>
      </c>
      <c r="R11" s="74">
        <f>R10</f>
        <v>0</v>
      </c>
      <c r="S11" s="74">
        <f t="shared" ref="S11:S21" si="9">IF(D11&lt;18001,265,IF(D11&lt;33501,440,IF(D11&lt;54001,658,875)))</f>
        <v>658</v>
      </c>
      <c r="T11" s="74">
        <f>T10</f>
        <v>5520</v>
      </c>
      <c r="U11" s="81"/>
      <c r="V11" s="74">
        <f t="shared" ref="V11:Y21" si="10">V10</f>
        <v>0</v>
      </c>
      <c r="W11" s="74">
        <f t="shared" si="10"/>
        <v>0</v>
      </c>
      <c r="X11" s="74">
        <f>X10</f>
        <v>0</v>
      </c>
      <c r="Y11" s="74">
        <f t="shared" si="10"/>
        <v>0</v>
      </c>
      <c r="Z11" s="77"/>
      <c r="AA11" s="78">
        <f t="shared" ref="AA11:AA30" si="11">SUM(O11:Y11)</f>
        <v>12028</v>
      </c>
      <c r="AB11" s="79">
        <f t="shared" si="0"/>
        <v>46711</v>
      </c>
      <c r="AC11" s="80"/>
      <c r="AD11" s="250"/>
      <c r="AE11" s="251">
        <v>5</v>
      </c>
      <c r="AF11" s="252" t="str">
        <f>IF(AE11='GA-55'!$O$2,"Yes","No")</f>
        <v>No</v>
      </c>
      <c r="AG11" s="253">
        <f t="shared" ref="AG11:AG21" si="12">IF(AF11="Yes",ROUND(D11/2,0),0)</f>
        <v>0</v>
      </c>
      <c r="AH11" s="253">
        <f t="shared" ref="AH11:AH21" si="13">IF(AF11="Yes",ROUND(H11/2,0),0)</f>
        <v>0</v>
      </c>
      <c r="AI11" s="253">
        <f t="shared" ref="AI11:AI21" si="14">AG11+AH11</f>
        <v>0</v>
      </c>
      <c r="AJ11" s="253"/>
      <c r="AK11" s="252"/>
      <c r="AL11" s="252"/>
      <c r="AM11" s="252"/>
      <c r="AN11" s="252"/>
      <c r="AO11" s="252"/>
      <c r="AP11" s="252"/>
    </row>
    <row r="12" spans="2:42" s="68" customFormat="1" ht="18.95" customHeight="1">
      <c r="B12" s="69">
        <v>5</v>
      </c>
      <c r="C12" s="73">
        <v>45047</v>
      </c>
      <c r="D12" s="74">
        <f t="shared" si="1"/>
        <v>38900</v>
      </c>
      <c r="E12" s="74">
        <f t="shared" ref="E12:E21" si="15">IF($E$10=0,0,ROUND(D12/2,0))</f>
        <v>0</v>
      </c>
      <c r="F12" s="74">
        <f t="shared" si="2"/>
        <v>0</v>
      </c>
      <c r="G12" s="74">
        <f t="shared" si="2"/>
        <v>0</v>
      </c>
      <c r="H12" s="74">
        <f t="shared" ref="H12:H16" si="16">ROUND(42%*D12,0)</f>
        <v>16338</v>
      </c>
      <c r="I12" s="74">
        <f t="shared" si="3"/>
        <v>3501</v>
      </c>
      <c r="J12" s="74">
        <f t="shared" si="4"/>
        <v>0</v>
      </c>
      <c r="K12" s="74">
        <f t="shared" ref="K12" si="17">IF(K$10=0,0,K11)</f>
        <v>0</v>
      </c>
      <c r="L12" s="74">
        <f>IF(L$10=0,0,L11)</f>
        <v>0</v>
      </c>
      <c r="M12" s="74">
        <f t="shared" si="6"/>
        <v>0</v>
      </c>
      <c r="N12" s="75">
        <f t="shared" si="7"/>
        <v>58739</v>
      </c>
      <c r="O12" s="74">
        <f t="shared" si="8"/>
        <v>2850</v>
      </c>
      <c r="P12" s="74">
        <f t="shared" ref="P12:P21" si="18">P11</f>
        <v>0</v>
      </c>
      <c r="Q12" s="74">
        <f t="shared" ref="Q12:Q21" si="19">Q11</f>
        <v>3000</v>
      </c>
      <c r="R12" s="74">
        <f t="shared" ref="R12:R21" si="20">R11</f>
        <v>0</v>
      </c>
      <c r="S12" s="74">
        <f t="shared" si="9"/>
        <v>658</v>
      </c>
      <c r="T12" s="74">
        <f t="shared" ref="T12:T21" si="21">T11</f>
        <v>5520</v>
      </c>
      <c r="U12" s="74">
        <v>0</v>
      </c>
      <c r="V12" s="74">
        <f t="shared" si="10"/>
        <v>0</v>
      </c>
      <c r="W12" s="74">
        <f t="shared" si="10"/>
        <v>0</v>
      </c>
      <c r="X12" s="74">
        <f t="shared" si="10"/>
        <v>0</v>
      </c>
      <c r="Y12" s="74">
        <f t="shared" ref="Y12" si="22">Y11</f>
        <v>0</v>
      </c>
      <c r="Z12" s="77"/>
      <c r="AA12" s="78">
        <f t="shared" si="11"/>
        <v>12028</v>
      </c>
      <c r="AB12" s="79">
        <f t="shared" si="0"/>
        <v>46711</v>
      </c>
      <c r="AC12" s="80"/>
      <c r="AD12" s="250"/>
      <c r="AE12" s="251">
        <v>6</v>
      </c>
      <c r="AF12" s="252" t="str">
        <f>IF(AE12='GA-55'!$O$2,"Yes","No")</f>
        <v>No</v>
      </c>
      <c r="AG12" s="253">
        <f t="shared" si="12"/>
        <v>0</v>
      </c>
      <c r="AH12" s="253">
        <f t="shared" si="13"/>
        <v>0</v>
      </c>
      <c r="AI12" s="253">
        <f t="shared" si="14"/>
        <v>0</v>
      </c>
      <c r="AJ12" s="253"/>
      <c r="AK12" s="252"/>
      <c r="AL12" s="252"/>
      <c r="AM12" s="252"/>
      <c r="AN12" s="252"/>
      <c r="AO12" s="252"/>
      <c r="AP12" s="252"/>
    </row>
    <row r="13" spans="2:42" s="68" customFormat="1" ht="18.95" customHeight="1">
      <c r="B13" s="69">
        <v>6</v>
      </c>
      <c r="C13" s="73">
        <v>45078</v>
      </c>
      <c r="D13" s="74">
        <f t="shared" si="1"/>
        <v>38900</v>
      </c>
      <c r="E13" s="74">
        <f t="shared" si="15"/>
        <v>0</v>
      </c>
      <c r="F13" s="74">
        <f t="shared" si="2"/>
        <v>0</v>
      </c>
      <c r="G13" s="74">
        <f t="shared" si="2"/>
        <v>0</v>
      </c>
      <c r="H13" s="74">
        <f t="shared" si="16"/>
        <v>16338</v>
      </c>
      <c r="I13" s="74">
        <f t="shared" si="3"/>
        <v>3501</v>
      </c>
      <c r="J13" s="74">
        <f t="shared" si="4"/>
        <v>0</v>
      </c>
      <c r="K13" s="74">
        <f t="shared" si="5"/>
        <v>0</v>
      </c>
      <c r="L13" s="74">
        <f t="shared" si="5"/>
        <v>0</v>
      </c>
      <c r="M13" s="74">
        <f t="shared" si="6"/>
        <v>0</v>
      </c>
      <c r="N13" s="75">
        <f t="shared" si="7"/>
        <v>58739</v>
      </c>
      <c r="O13" s="74">
        <f t="shared" si="8"/>
        <v>2850</v>
      </c>
      <c r="P13" s="74">
        <f t="shared" si="18"/>
        <v>0</v>
      </c>
      <c r="Q13" s="74">
        <f t="shared" si="19"/>
        <v>3000</v>
      </c>
      <c r="R13" s="74">
        <f t="shared" si="20"/>
        <v>0</v>
      </c>
      <c r="S13" s="74">
        <f t="shared" si="9"/>
        <v>658</v>
      </c>
      <c r="T13" s="74">
        <f t="shared" si="21"/>
        <v>5520</v>
      </c>
      <c r="U13" s="74">
        <v>0</v>
      </c>
      <c r="V13" s="74">
        <f t="shared" si="10"/>
        <v>0</v>
      </c>
      <c r="W13" s="74">
        <f t="shared" si="10"/>
        <v>0</v>
      </c>
      <c r="X13" s="74">
        <f t="shared" si="10"/>
        <v>0</v>
      </c>
      <c r="Y13" s="74">
        <f t="shared" ref="Y13" si="23">Y12</f>
        <v>0</v>
      </c>
      <c r="Z13" s="77"/>
      <c r="AA13" s="78">
        <f t="shared" si="11"/>
        <v>12028</v>
      </c>
      <c r="AB13" s="79">
        <f t="shared" si="0"/>
        <v>46711</v>
      </c>
      <c r="AC13" s="80"/>
      <c r="AD13" s="250"/>
      <c r="AE13" s="251">
        <v>7</v>
      </c>
      <c r="AF13" s="252" t="str">
        <f>IF(AE13='GA-55'!$O$2,"Yes","No")</f>
        <v>No</v>
      </c>
      <c r="AG13" s="253">
        <f t="shared" si="12"/>
        <v>0</v>
      </c>
      <c r="AH13" s="253">
        <f t="shared" si="13"/>
        <v>0</v>
      </c>
      <c r="AI13" s="253">
        <f t="shared" si="14"/>
        <v>0</v>
      </c>
      <c r="AJ13" s="253">
        <f t="shared" ref="AJ13:AJ16" si="24">IF(AF13="yes",(D14*0.04/2),0)</f>
        <v>0</v>
      </c>
      <c r="AK13" s="252"/>
      <c r="AL13" s="252"/>
      <c r="AM13" s="252"/>
      <c r="AN13" s="252"/>
      <c r="AO13" s="252"/>
      <c r="AP13" s="252"/>
    </row>
    <row r="14" spans="2:42" s="68" customFormat="1" ht="18.95" customHeight="1">
      <c r="B14" s="69">
        <v>7</v>
      </c>
      <c r="C14" s="73">
        <v>45108</v>
      </c>
      <c r="D14" s="74">
        <f>MROUND(ROUND(1.03*D13,0),100)</f>
        <v>40100</v>
      </c>
      <c r="E14" s="74">
        <f t="shared" si="15"/>
        <v>0</v>
      </c>
      <c r="F14" s="74">
        <f>IF(F$10=0,0,F13)</f>
        <v>0</v>
      </c>
      <c r="G14" s="74">
        <f>IF(G$10=0,0,G13)</f>
        <v>0</v>
      </c>
      <c r="H14" s="74">
        <f t="shared" si="16"/>
        <v>16842</v>
      </c>
      <c r="I14" s="74">
        <f t="shared" si="3"/>
        <v>3609</v>
      </c>
      <c r="J14" s="74">
        <f>IF(J$10=0,0,J13)</f>
        <v>0</v>
      </c>
      <c r="K14" s="74">
        <f t="shared" ref="K14" si="25">IF(K$10=0,0,K13)</f>
        <v>0</v>
      </c>
      <c r="L14" s="74">
        <f>IF(L$10=0,0,L13)</f>
        <v>0</v>
      </c>
      <c r="M14" s="74">
        <f>IF(M$10=0,0,M13)</f>
        <v>0</v>
      </c>
      <c r="N14" s="75">
        <f t="shared" si="7"/>
        <v>60551</v>
      </c>
      <c r="O14" s="74">
        <f t="shared" si="8"/>
        <v>2850</v>
      </c>
      <c r="P14" s="74">
        <f>P13</f>
        <v>0</v>
      </c>
      <c r="Q14" s="74">
        <f>Q13</f>
        <v>3000</v>
      </c>
      <c r="R14" s="74">
        <f>R13</f>
        <v>0</v>
      </c>
      <c r="S14" s="74">
        <f t="shared" si="9"/>
        <v>658</v>
      </c>
      <c r="T14" s="74">
        <f>T13</f>
        <v>5520</v>
      </c>
      <c r="U14" s="74">
        <v>0</v>
      </c>
      <c r="V14" s="74">
        <f>V13</f>
        <v>0</v>
      </c>
      <c r="W14" s="74">
        <f>W13</f>
        <v>0</v>
      </c>
      <c r="X14" s="74">
        <f t="shared" ref="X14:Y21" si="26">X13</f>
        <v>0</v>
      </c>
      <c r="Y14" s="74">
        <f t="shared" si="26"/>
        <v>0</v>
      </c>
      <c r="Z14" s="77"/>
      <c r="AA14" s="78">
        <f t="shared" si="11"/>
        <v>12028</v>
      </c>
      <c r="AB14" s="79">
        <f t="shared" si="0"/>
        <v>48523</v>
      </c>
      <c r="AC14" s="80"/>
      <c r="AD14" s="250"/>
      <c r="AE14" s="251">
        <v>8</v>
      </c>
      <c r="AF14" s="252" t="str">
        <f>IF(AE14='GA-55'!$O$2,"Yes","No")</f>
        <v>No</v>
      </c>
      <c r="AG14" s="253">
        <f t="shared" si="12"/>
        <v>0</v>
      </c>
      <c r="AH14" s="253">
        <f t="shared" si="13"/>
        <v>0</v>
      </c>
      <c r="AI14" s="253">
        <f t="shared" si="14"/>
        <v>0</v>
      </c>
      <c r="AJ14" s="253">
        <f t="shared" si="24"/>
        <v>0</v>
      </c>
      <c r="AK14" s="252"/>
      <c r="AL14" s="252"/>
      <c r="AM14" s="252"/>
      <c r="AN14" s="252"/>
      <c r="AO14" s="252"/>
      <c r="AP14" s="252"/>
    </row>
    <row r="15" spans="2:42" s="68" customFormat="1" ht="18.95" customHeight="1">
      <c r="B15" s="69">
        <v>8</v>
      </c>
      <c r="C15" s="73">
        <v>45139</v>
      </c>
      <c r="D15" s="74">
        <f t="shared" ref="D15:D21" si="27">D14</f>
        <v>40100</v>
      </c>
      <c r="E15" s="74">
        <f t="shared" si="15"/>
        <v>0</v>
      </c>
      <c r="F15" s="74">
        <f t="shared" si="2"/>
        <v>0</v>
      </c>
      <c r="G15" s="74">
        <f t="shared" si="2"/>
        <v>0</v>
      </c>
      <c r="H15" s="74">
        <f t="shared" si="16"/>
        <v>16842</v>
      </c>
      <c r="I15" s="74">
        <f t="shared" si="3"/>
        <v>3609</v>
      </c>
      <c r="J15" s="74">
        <f t="shared" si="4"/>
        <v>0</v>
      </c>
      <c r="K15" s="74">
        <f t="shared" si="5"/>
        <v>0</v>
      </c>
      <c r="L15" s="74">
        <f t="shared" si="5"/>
        <v>0</v>
      </c>
      <c r="M15" s="74">
        <f t="shared" si="6"/>
        <v>0</v>
      </c>
      <c r="N15" s="75">
        <f t="shared" si="7"/>
        <v>60551</v>
      </c>
      <c r="O15" s="74">
        <f t="shared" si="8"/>
        <v>2850</v>
      </c>
      <c r="P15" s="74">
        <f t="shared" si="18"/>
        <v>0</v>
      </c>
      <c r="Q15" s="74">
        <f t="shared" si="19"/>
        <v>3000</v>
      </c>
      <c r="R15" s="74">
        <f t="shared" si="20"/>
        <v>0</v>
      </c>
      <c r="S15" s="74">
        <f t="shared" si="9"/>
        <v>658</v>
      </c>
      <c r="T15" s="74">
        <f t="shared" si="21"/>
        <v>5520</v>
      </c>
      <c r="U15" s="74">
        <v>0</v>
      </c>
      <c r="V15" s="74">
        <f t="shared" si="10"/>
        <v>0</v>
      </c>
      <c r="W15" s="74">
        <f t="shared" si="10"/>
        <v>0</v>
      </c>
      <c r="X15" s="74">
        <f t="shared" si="26"/>
        <v>0</v>
      </c>
      <c r="Y15" s="74">
        <f t="shared" si="26"/>
        <v>0</v>
      </c>
      <c r="Z15" s="77"/>
      <c r="AA15" s="78">
        <f t="shared" si="11"/>
        <v>12028</v>
      </c>
      <c r="AB15" s="79">
        <f t="shared" si="0"/>
        <v>48523</v>
      </c>
      <c r="AC15" s="80"/>
      <c r="AD15" s="250"/>
      <c r="AE15" s="251">
        <v>9</v>
      </c>
      <c r="AF15" s="252" t="str">
        <f>IF(AE15='GA-55'!$O$2,"Yes","No")</f>
        <v>No</v>
      </c>
      <c r="AG15" s="253">
        <f t="shared" si="12"/>
        <v>0</v>
      </c>
      <c r="AH15" s="253">
        <f t="shared" si="13"/>
        <v>0</v>
      </c>
      <c r="AI15" s="253">
        <f t="shared" si="14"/>
        <v>0</v>
      </c>
      <c r="AJ15" s="253">
        <f t="shared" si="24"/>
        <v>0</v>
      </c>
      <c r="AK15" s="252"/>
      <c r="AL15" s="252"/>
      <c r="AM15" s="252"/>
      <c r="AN15" s="252"/>
      <c r="AO15" s="252"/>
      <c r="AP15" s="252"/>
    </row>
    <row r="16" spans="2:42" s="68" customFormat="1" ht="18.95" customHeight="1">
      <c r="B16" s="69">
        <v>9</v>
      </c>
      <c r="C16" s="73">
        <v>45170</v>
      </c>
      <c r="D16" s="74">
        <f t="shared" si="27"/>
        <v>40100</v>
      </c>
      <c r="E16" s="74">
        <f t="shared" si="15"/>
        <v>0</v>
      </c>
      <c r="F16" s="74">
        <f t="shared" si="2"/>
        <v>0</v>
      </c>
      <c r="G16" s="74">
        <f t="shared" si="2"/>
        <v>0</v>
      </c>
      <c r="H16" s="74">
        <f t="shared" si="16"/>
        <v>16842</v>
      </c>
      <c r="I16" s="74">
        <f t="shared" si="3"/>
        <v>3609</v>
      </c>
      <c r="J16" s="74">
        <f t="shared" si="4"/>
        <v>0</v>
      </c>
      <c r="K16" s="74">
        <f t="shared" si="5"/>
        <v>0</v>
      </c>
      <c r="L16" s="74">
        <f t="shared" si="5"/>
        <v>0</v>
      </c>
      <c r="M16" s="74">
        <f t="shared" si="6"/>
        <v>0</v>
      </c>
      <c r="N16" s="75">
        <f t="shared" si="7"/>
        <v>60551</v>
      </c>
      <c r="O16" s="74">
        <f t="shared" si="8"/>
        <v>2850</v>
      </c>
      <c r="P16" s="74">
        <f t="shared" si="18"/>
        <v>0</v>
      </c>
      <c r="Q16" s="74">
        <f t="shared" si="19"/>
        <v>3000</v>
      </c>
      <c r="R16" s="74">
        <f t="shared" si="20"/>
        <v>0</v>
      </c>
      <c r="S16" s="74">
        <f t="shared" si="9"/>
        <v>658</v>
      </c>
      <c r="T16" s="74">
        <f t="shared" si="21"/>
        <v>5520</v>
      </c>
      <c r="U16" s="74">
        <v>0</v>
      </c>
      <c r="V16" s="74">
        <f t="shared" si="10"/>
        <v>0</v>
      </c>
      <c r="W16" s="74">
        <f t="shared" si="10"/>
        <v>0</v>
      </c>
      <c r="X16" s="74">
        <f t="shared" si="26"/>
        <v>0</v>
      </c>
      <c r="Y16" s="74">
        <f t="shared" si="26"/>
        <v>0</v>
      </c>
      <c r="Z16" s="77"/>
      <c r="AA16" s="78">
        <f t="shared" si="11"/>
        <v>12028</v>
      </c>
      <c r="AB16" s="79">
        <f t="shared" si="0"/>
        <v>48523</v>
      </c>
      <c r="AC16" s="80"/>
      <c r="AD16" s="250"/>
      <c r="AE16" s="251">
        <v>10</v>
      </c>
      <c r="AF16" s="252" t="str">
        <f>IF(AE16='GA-55'!$O$2,"Yes","No")</f>
        <v>Yes</v>
      </c>
      <c r="AG16" s="253">
        <f t="shared" si="12"/>
        <v>20050</v>
      </c>
      <c r="AH16" s="253">
        <f t="shared" si="13"/>
        <v>8421</v>
      </c>
      <c r="AI16" s="253">
        <f t="shared" si="14"/>
        <v>28471</v>
      </c>
      <c r="AJ16" s="253">
        <f t="shared" si="24"/>
        <v>802</v>
      </c>
      <c r="AK16" s="252"/>
      <c r="AL16" s="252"/>
      <c r="AM16" s="252"/>
      <c r="AN16" s="252"/>
      <c r="AO16" s="252"/>
      <c r="AP16" s="252"/>
    </row>
    <row r="17" spans="2:42" s="68" customFormat="1" ht="18.95" customHeight="1">
      <c r="B17" s="69">
        <v>10</v>
      </c>
      <c r="C17" s="73">
        <v>45200</v>
      </c>
      <c r="D17" s="74">
        <f t="shared" si="27"/>
        <v>40100</v>
      </c>
      <c r="E17" s="74">
        <f t="shared" si="15"/>
        <v>0</v>
      </c>
      <c r="F17" s="74">
        <f>IF(F$10=0,0,F16)</f>
        <v>0</v>
      </c>
      <c r="G17" s="74">
        <f t="shared" ref="G17:G21" si="28">IF(G$10=0,0,G16)</f>
        <v>0</v>
      </c>
      <c r="H17" s="74">
        <f>ROUND(42%*D17,0)</f>
        <v>16842</v>
      </c>
      <c r="I17" s="74">
        <f t="shared" si="3"/>
        <v>3609</v>
      </c>
      <c r="J17" s="74">
        <f t="shared" si="4"/>
        <v>0</v>
      </c>
      <c r="K17" s="74">
        <f t="shared" si="5"/>
        <v>0</v>
      </c>
      <c r="L17" s="74">
        <f t="shared" si="5"/>
        <v>0</v>
      </c>
      <c r="M17" s="74">
        <f t="shared" si="6"/>
        <v>0</v>
      </c>
      <c r="N17" s="75">
        <f t="shared" si="7"/>
        <v>60551</v>
      </c>
      <c r="O17" s="74">
        <f t="shared" si="8"/>
        <v>2850</v>
      </c>
      <c r="P17" s="74">
        <f t="shared" si="18"/>
        <v>0</v>
      </c>
      <c r="Q17" s="74">
        <f t="shared" si="19"/>
        <v>3000</v>
      </c>
      <c r="R17" s="74">
        <f t="shared" si="20"/>
        <v>0</v>
      </c>
      <c r="S17" s="74">
        <f t="shared" si="9"/>
        <v>658</v>
      </c>
      <c r="T17" s="74">
        <f t="shared" si="21"/>
        <v>5520</v>
      </c>
      <c r="U17" s="74">
        <v>0</v>
      </c>
      <c r="V17" s="74">
        <f t="shared" si="10"/>
        <v>0</v>
      </c>
      <c r="W17" s="74">
        <f t="shared" si="10"/>
        <v>0</v>
      </c>
      <c r="X17" s="74">
        <f t="shared" si="26"/>
        <v>0</v>
      </c>
      <c r="Y17" s="74">
        <f t="shared" si="26"/>
        <v>0</v>
      </c>
      <c r="Z17" s="77"/>
      <c r="AA17" s="78">
        <f t="shared" si="11"/>
        <v>12028</v>
      </c>
      <c r="AB17" s="79">
        <f t="shared" si="0"/>
        <v>48523</v>
      </c>
      <c r="AC17" s="80"/>
      <c r="AD17" s="250"/>
      <c r="AE17" s="251">
        <v>11</v>
      </c>
      <c r="AF17" s="252" t="str">
        <f>IF(AE17='GA-55'!$O$2,"Yes","No")</f>
        <v>No</v>
      </c>
      <c r="AG17" s="253">
        <f t="shared" si="12"/>
        <v>0</v>
      </c>
      <c r="AH17" s="253">
        <f t="shared" si="13"/>
        <v>0</v>
      </c>
      <c r="AI17" s="253">
        <f t="shared" si="14"/>
        <v>0</v>
      </c>
      <c r="AJ17" s="253"/>
      <c r="AK17" s="252"/>
      <c r="AL17" s="252"/>
      <c r="AM17" s="252"/>
      <c r="AN17" s="252"/>
      <c r="AO17" s="252"/>
      <c r="AP17" s="252"/>
    </row>
    <row r="18" spans="2:42" s="68" customFormat="1" ht="18.95" customHeight="1">
      <c r="B18" s="69">
        <v>11</v>
      </c>
      <c r="C18" s="73">
        <v>45231</v>
      </c>
      <c r="D18" s="74">
        <f t="shared" si="27"/>
        <v>40100</v>
      </c>
      <c r="E18" s="74">
        <f t="shared" si="15"/>
        <v>0</v>
      </c>
      <c r="F18" s="74">
        <f>IF(F$10=0,0,F17)</f>
        <v>0</v>
      </c>
      <c r="G18" s="74">
        <f t="shared" si="28"/>
        <v>0</v>
      </c>
      <c r="H18" s="74">
        <f t="shared" ref="H18:H20" si="29">ROUND(46%*D18,0)</f>
        <v>18446</v>
      </c>
      <c r="I18" s="74">
        <f t="shared" si="3"/>
        <v>3609</v>
      </c>
      <c r="J18" s="74">
        <f t="shared" si="4"/>
        <v>0</v>
      </c>
      <c r="K18" s="74">
        <f t="shared" si="5"/>
        <v>0</v>
      </c>
      <c r="L18" s="74">
        <f t="shared" si="5"/>
        <v>0</v>
      </c>
      <c r="M18" s="74">
        <f t="shared" si="6"/>
        <v>0</v>
      </c>
      <c r="N18" s="75">
        <f t="shared" si="7"/>
        <v>62155</v>
      </c>
      <c r="O18" s="74">
        <f t="shared" si="8"/>
        <v>2850</v>
      </c>
      <c r="P18" s="74">
        <f t="shared" si="18"/>
        <v>0</v>
      </c>
      <c r="Q18" s="74">
        <f t="shared" si="19"/>
        <v>3000</v>
      </c>
      <c r="R18" s="74">
        <f t="shared" si="20"/>
        <v>0</v>
      </c>
      <c r="S18" s="74">
        <f t="shared" si="9"/>
        <v>658</v>
      </c>
      <c r="T18" s="74">
        <f t="shared" si="21"/>
        <v>5520</v>
      </c>
      <c r="U18" s="74">
        <v>0</v>
      </c>
      <c r="V18" s="74">
        <f t="shared" si="10"/>
        <v>0</v>
      </c>
      <c r="W18" s="74">
        <f t="shared" si="10"/>
        <v>0</v>
      </c>
      <c r="X18" s="74">
        <f t="shared" si="26"/>
        <v>0</v>
      </c>
      <c r="Y18" s="74">
        <f t="shared" si="26"/>
        <v>0</v>
      </c>
      <c r="Z18" s="77"/>
      <c r="AA18" s="78">
        <f t="shared" si="11"/>
        <v>12028</v>
      </c>
      <c r="AB18" s="79">
        <f t="shared" si="0"/>
        <v>50127</v>
      </c>
      <c r="AC18" s="80"/>
      <c r="AD18" s="250"/>
      <c r="AE18" s="251">
        <v>12</v>
      </c>
      <c r="AF18" s="252" t="str">
        <f>IF(AE18='GA-55'!$O$2,"Yes","No")</f>
        <v>No</v>
      </c>
      <c r="AG18" s="253">
        <f t="shared" si="12"/>
        <v>0</v>
      </c>
      <c r="AH18" s="253">
        <f t="shared" si="13"/>
        <v>0</v>
      </c>
      <c r="AI18" s="253">
        <f t="shared" si="14"/>
        <v>0</v>
      </c>
      <c r="AJ18" s="253"/>
      <c r="AK18" s="252"/>
      <c r="AL18" s="252"/>
      <c r="AM18" s="252"/>
      <c r="AN18" s="252"/>
      <c r="AO18" s="252"/>
      <c r="AP18" s="252"/>
    </row>
    <row r="19" spans="2:42" s="68" customFormat="1" ht="18.95" customHeight="1">
      <c r="B19" s="69">
        <v>12</v>
      </c>
      <c r="C19" s="73">
        <v>45261</v>
      </c>
      <c r="D19" s="74">
        <f t="shared" si="27"/>
        <v>40100</v>
      </c>
      <c r="E19" s="74">
        <f t="shared" si="15"/>
        <v>0</v>
      </c>
      <c r="F19" s="74">
        <f>IF(F$10=0,0,F18)</f>
        <v>0</v>
      </c>
      <c r="G19" s="74">
        <f t="shared" si="28"/>
        <v>0</v>
      </c>
      <c r="H19" s="74">
        <f t="shared" si="29"/>
        <v>18446</v>
      </c>
      <c r="I19" s="74">
        <f t="shared" si="3"/>
        <v>3609</v>
      </c>
      <c r="J19" s="74">
        <f t="shared" si="4"/>
        <v>0</v>
      </c>
      <c r="K19" s="74">
        <f t="shared" si="5"/>
        <v>0</v>
      </c>
      <c r="L19" s="74">
        <f t="shared" si="5"/>
        <v>0</v>
      </c>
      <c r="M19" s="74">
        <f t="shared" si="6"/>
        <v>0</v>
      </c>
      <c r="N19" s="75">
        <f t="shared" si="7"/>
        <v>62155</v>
      </c>
      <c r="O19" s="74">
        <f t="shared" si="8"/>
        <v>2850</v>
      </c>
      <c r="P19" s="74">
        <f t="shared" si="18"/>
        <v>0</v>
      </c>
      <c r="Q19" s="74">
        <f t="shared" si="19"/>
        <v>3000</v>
      </c>
      <c r="R19" s="74">
        <f t="shared" si="20"/>
        <v>0</v>
      </c>
      <c r="S19" s="74">
        <f t="shared" si="9"/>
        <v>658</v>
      </c>
      <c r="T19" s="74">
        <f t="shared" si="21"/>
        <v>5520</v>
      </c>
      <c r="U19" s="74">
        <v>0</v>
      </c>
      <c r="V19" s="74">
        <f t="shared" si="10"/>
        <v>0</v>
      </c>
      <c r="W19" s="74">
        <f t="shared" si="10"/>
        <v>0</v>
      </c>
      <c r="X19" s="74">
        <f t="shared" si="26"/>
        <v>0</v>
      </c>
      <c r="Y19" s="74">
        <v>250</v>
      </c>
      <c r="Z19" s="77"/>
      <c r="AA19" s="78">
        <f t="shared" si="11"/>
        <v>12278</v>
      </c>
      <c r="AB19" s="79">
        <f t="shared" si="0"/>
        <v>49877</v>
      </c>
      <c r="AC19" s="80"/>
      <c r="AD19" s="250"/>
      <c r="AE19" s="251">
        <v>1</v>
      </c>
      <c r="AF19" s="252" t="str">
        <f>IF(AE19='GA-55'!$O$2,"Yes","No")</f>
        <v>No</v>
      </c>
      <c r="AG19" s="253">
        <f t="shared" si="12"/>
        <v>0</v>
      </c>
      <c r="AH19" s="253">
        <f t="shared" si="13"/>
        <v>0</v>
      </c>
      <c r="AI19" s="253">
        <f t="shared" si="14"/>
        <v>0</v>
      </c>
      <c r="AJ19" s="253"/>
      <c r="AK19" s="252"/>
      <c r="AL19" s="252"/>
      <c r="AM19" s="252"/>
      <c r="AN19" s="252"/>
      <c r="AO19" s="252"/>
      <c r="AP19" s="252"/>
    </row>
    <row r="20" spans="2:42" s="68" customFormat="1" ht="18.95" customHeight="1">
      <c r="B20" s="69">
        <v>1</v>
      </c>
      <c r="C20" s="73">
        <v>45292</v>
      </c>
      <c r="D20" s="74">
        <f t="shared" si="27"/>
        <v>40100</v>
      </c>
      <c r="E20" s="74">
        <f t="shared" si="15"/>
        <v>0</v>
      </c>
      <c r="F20" s="74">
        <f>IF(F$10=0,0,F19)</f>
        <v>0</v>
      </c>
      <c r="G20" s="74">
        <f t="shared" si="28"/>
        <v>0</v>
      </c>
      <c r="H20" s="74">
        <f t="shared" si="29"/>
        <v>18446</v>
      </c>
      <c r="I20" s="74">
        <f t="shared" si="3"/>
        <v>3609</v>
      </c>
      <c r="J20" s="74">
        <f t="shared" si="4"/>
        <v>0</v>
      </c>
      <c r="K20" s="74">
        <f t="shared" si="5"/>
        <v>0</v>
      </c>
      <c r="L20" s="74">
        <f t="shared" si="5"/>
        <v>0</v>
      </c>
      <c r="M20" s="74">
        <f t="shared" si="6"/>
        <v>0</v>
      </c>
      <c r="N20" s="75">
        <f t="shared" si="7"/>
        <v>62155</v>
      </c>
      <c r="O20" s="74">
        <f t="shared" si="8"/>
        <v>2850</v>
      </c>
      <c r="P20" s="74">
        <f t="shared" si="18"/>
        <v>0</v>
      </c>
      <c r="Q20" s="74">
        <f t="shared" si="19"/>
        <v>3000</v>
      </c>
      <c r="R20" s="74">
        <f t="shared" si="20"/>
        <v>0</v>
      </c>
      <c r="S20" s="74">
        <f t="shared" si="9"/>
        <v>658</v>
      </c>
      <c r="T20" s="74">
        <f t="shared" si="21"/>
        <v>5520</v>
      </c>
      <c r="U20" s="74">
        <v>0</v>
      </c>
      <c r="V20" s="74">
        <f t="shared" si="10"/>
        <v>0</v>
      </c>
      <c r="W20" s="74">
        <f t="shared" si="10"/>
        <v>0</v>
      </c>
      <c r="X20" s="74">
        <f t="shared" si="26"/>
        <v>0</v>
      </c>
      <c r="Y20" s="74"/>
      <c r="Z20" s="77"/>
      <c r="AA20" s="78">
        <f t="shared" si="11"/>
        <v>12028</v>
      </c>
      <c r="AB20" s="79">
        <f t="shared" si="0"/>
        <v>50127</v>
      </c>
      <c r="AC20" s="80"/>
      <c r="AD20" s="250"/>
      <c r="AE20" s="251">
        <v>2</v>
      </c>
      <c r="AF20" s="252" t="str">
        <f>IF(AE20='GA-55'!$O$2,"Yes","No")</f>
        <v>No</v>
      </c>
      <c r="AG20" s="253">
        <f t="shared" si="12"/>
        <v>0</v>
      </c>
      <c r="AH20" s="253">
        <f t="shared" si="13"/>
        <v>0</v>
      </c>
      <c r="AI20" s="253">
        <f t="shared" si="14"/>
        <v>0</v>
      </c>
      <c r="AJ20" s="253"/>
      <c r="AK20" s="252"/>
      <c r="AL20" s="252"/>
      <c r="AM20" s="252"/>
      <c r="AN20" s="252"/>
      <c r="AO20" s="252"/>
      <c r="AP20" s="252"/>
    </row>
    <row r="21" spans="2:42" s="68" customFormat="1" ht="18.95" customHeight="1">
      <c r="B21" s="69">
        <v>2</v>
      </c>
      <c r="C21" s="73">
        <v>45323</v>
      </c>
      <c r="D21" s="74">
        <f t="shared" si="27"/>
        <v>40100</v>
      </c>
      <c r="E21" s="74">
        <f t="shared" si="15"/>
        <v>0</v>
      </c>
      <c r="F21" s="74">
        <f>IF(F$10=0,0,F20)</f>
        <v>0</v>
      </c>
      <c r="G21" s="74">
        <f t="shared" si="28"/>
        <v>0</v>
      </c>
      <c r="H21" s="74">
        <f>ROUND(46%*D21,0)</f>
        <v>18446</v>
      </c>
      <c r="I21" s="74">
        <f t="shared" si="3"/>
        <v>3609</v>
      </c>
      <c r="J21" s="74">
        <f t="shared" si="4"/>
        <v>0</v>
      </c>
      <c r="K21" s="74">
        <f t="shared" si="5"/>
        <v>0</v>
      </c>
      <c r="L21" s="74">
        <f t="shared" si="5"/>
        <v>0</v>
      </c>
      <c r="M21" s="74">
        <f t="shared" si="6"/>
        <v>0</v>
      </c>
      <c r="N21" s="75">
        <f t="shared" si="7"/>
        <v>62155</v>
      </c>
      <c r="O21" s="74">
        <f t="shared" si="8"/>
        <v>2850</v>
      </c>
      <c r="P21" s="74">
        <f t="shared" si="18"/>
        <v>0</v>
      </c>
      <c r="Q21" s="74">
        <f t="shared" si="19"/>
        <v>3000</v>
      </c>
      <c r="R21" s="74">
        <f t="shared" si="20"/>
        <v>0</v>
      </c>
      <c r="S21" s="74">
        <f t="shared" si="9"/>
        <v>658</v>
      </c>
      <c r="T21" s="74">
        <f t="shared" si="21"/>
        <v>5520</v>
      </c>
      <c r="U21" s="74">
        <v>0</v>
      </c>
      <c r="V21" s="74">
        <f t="shared" si="10"/>
        <v>0</v>
      </c>
      <c r="W21" s="74">
        <f t="shared" si="10"/>
        <v>0</v>
      </c>
      <c r="X21" s="74">
        <f t="shared" si="26"/>
        <v>0</v>
      </c>
      <c r="Y21" s="74"/>
      <c r="Z21" s="77"/>
      <c r="AA21" s="78">
        <f t="shared" si="11"/>
        <v>12028</v>
      </c>
      <c r="AB21" s="79">
        <f t="shared" si="0"/>
        <v>50127</v>
      </c>
      <c r="AC21" s="80"/>
      <c r="AD21" s="250"/>
      <c r="AE21" s="251">
        <v>3</v>
      </c>
      <c r="AF21" s="252" t="str">
        <f>IF(AE21='GA-55'!$O$2,"Yes","No")</f>
        <v>No</v>
      </c>
      <c r="AG21" s="253">
        <f t="shared" si="12"/>
        <v>0</v>
      </c>
      <c r="AH21" s="253">
        <f t="shared" si="13"/>
        <v>0</v>
      </c>
      <c r="AI21" s="253">
        <f t="shared" si="14"/>
        <v>0</v>
      </c>
      <c r="AJ21" s="253"/>
      <c r="AK21" s="252"/>
      <c r="AL21" s="252"/>
      <c r="AM21" s="252"/>
      <c r="AN21" s="252"/>
      <c r="AO21" s="252"/>
      <c r="AP21" s="252"/>
    </row>
    <row r="22" spans="2:42" s="68" customFormat="1" ht="18.95" customHeight="1">
      <c r="B22" s="69"/>
      <c r="C22" s="82" t="s">
        <v>358</v>
      </c>
      <c r="D22" s="74"/>
      <c r="E22" s="74"/>
      <c r="F22" s="74"/>
      <c r="G22" s="74"/>
      <c r="H22" s="74">
        <f>(ROUND(42%*D10,0)-ROUND(38%*D10,0))*3</f>
        <v>4668</v>
      </c>
      <c r="I22" s="74"/>
      <c r="J22" s="74"/>
      <c r="K22" s="74"/>
      <c r="L22" s="74"/>
      <c r="M22" s="74"/>
      <c r="N22" s="75">
        <f>H22</f>
        <v>4668</v>
      </c>
      <c r="O22" s="74">
        <f>H22</f>
        <v>4668</v>
      </c>
      <c r="P22" s="74"/>
      <c r="Q22" s="74"/>
      <c r="R22" s="74"/>
      <c r="S22" s="74"/>
      <c r="T22" s="74">
        <v>0</v>
      </c>
      <c r="U22" s="74"/>
      <c r="V22" s="74"/>
      <c r="W22" s="74"/>
      <c r="X22" s="74"/>
      <c r="Y22" s="74"/>
      <c r="Z22" s="77"/>
      <c r="AA22" s="78">
        <f t="shared" si="11"/>
        <v>4668</v>
      </c>
      <c r="AB22" s="79">
        <f t="shared" si="0"/>
        <v>0</v>
      </c>
      <c r="AC22" s="80"/>
      <c r="AD22" s="250"/>
      <c r="AE22" s="250"/>
      <c r="AF22" s="252"/>
      <c r="AG22" s="253">
        <f>SUM(AG10:AG21)</f>
        <v>20050</v>
      </c>
      <c r="AH22" s="253">
        <f t="shared" ref="AH22:AJ22" si="30">SUM(AH10:AH21)</f>
        <v>8421</v>
      </c>
      <c r="AI22" s="253">
        <f t="shared" si="30"/>
        <v>28471</v>
      </c>
      <c r="AJ22" s="253">
        <f t="shared" si="30"/>
        <v>802</v>
      </c>
      <c r="AK22" s="252"/>
      <c r="AL22" s="252"/>
      <c r="AM22" s="252"/>
      <c r="AN22" s="252"/>
      <c r="AO22" s="252"/>
      <c r="AP22" s="252"/>
    </row>
    <row r="23" spans="2:42" s="68" customFormat="1" ht="18.95" customHeight="1">
      <c r="B23" s="69"/>
      <c r="C23" s="82" t="s">
        <v>359</v>
      </c>
      <c r="D23" s="74"/>
      <c r="E23" s="74"/>
      <c r="F23" s="74"/>
      <c r="G23" s="74"/>
      <c r="H23" s="74">
        <f>(ROUND(46%*D17,0)-ROUND(42%*D17,0))*4</f>
        <v>6416</v>
      </c>
      <c r="I23" s="74"/>
      <c r="J23" s="74"/>
      <c r="K23" s="74"/>
      <c r="L23" s="74"/>
      <c r="M23" s="74"/>
      <c r="N23" s="75">
        <f>H23</f>
        <v>6416</v>
      </c>
      <c r="O23" s="74">
        <f>H23</f>
        <v>6416</v>
      </c>
      <c r="P23" s="74"/>
      <c r="Q23" s="74"/>
      <c r="R23" s="74"/>
      <c r="S23" s="74"/>
      <c r="T23" s="74">
        <v>0</v>
      </c>
      <c r="U23" s="74"/>
      <c r="V23" s="74"/>
      <c r="W23" s="74"/>
      <c r="X23" s="74"/>
      <c r="Y23" s="74"/>
      <c r="Z23" s="77"/>
      <c r="AA23" s="78">
        <f t="shared" ref="AA23" si="31">SUM(O23:Y23)</f>
        <v>6416</v>
      </c>
      <c r="AB23" s="79">
        <f t="shared" ref="AB23" si="32">N23-AA23</f>
        <v>0</v>
      </c>
      <c r="AC23" s="80"/>
      <c r="AD23" s="250"/>
      <c r="AE23" s="250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</row>
    <row r="24" spans="2:42" s="68" customFormat="1" ht="18.95" customHeight="1">
      <c r="B24" s="69"/>
      <c r="C24" s="83" t="s">
        <v>44</v>
      </c>
      <c r="D24" s="74">
        <f>IF(I2="NO",0,IF(O2=3,D21,VLOOKUP(O2,B10:D21,3,FALSE)))/2</f>
        <v>20050</v>
      </c>
      <c r="E24" s="74"/>
      <c r="F24" s="74"/>
      <c r="G24" s="74"/>
      <c r="H24" s="74">
        <f>IF(AND('GA-55'!O2&gt;3,'GA-55'!O2&lt;11),ROUND('GA-55'!D24*42%,0),IF(AND('GA-55'!O2&gt;10,'GA-55'!O2&lt;13),ROUND('GA-55'!D24*46%,0),ROUND('GA-55'!D24*46%,0)))</f>
        <v>8421</v>
      </c>
      <c r="I24" s="74"/>
      <c r="J24" s="74"/>
      <c r="K24" s="74"/>
      <c r="L24" s="74"/>
      <c r="M24" s="74"/>
      <c r="N24" s="75">
        <f t="shared" si="7"/>
        <v>28471</v>
      </c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7"/>
      <c r="AA24" s="78">
        <f t="shared" si="11"/>
        <v>0</v>
      </c>
      <c r="AB24" s="79">
        <f t="shared" si="0"/>
        <v>28471</v>
      </c>
      <c r="AC24" s="80"/>
      <c r="AD24" s="250"/>
      <c r="AE24" s="250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</row>
    <row r="25" spans="2:42" s="68" customFormat="1" ht="18.95" customHeight="1">
      <c r="B25" s="69"/>
      <c r="C25" s="83" t="s">
        <v>45</v>
      </c>
      <c r="D25" s="74">
        <f>IF(V2="Yes",6774,0)</f>
        <v>6774</v>
      </c>
      <c r="E25" s="74"/>
      <c r="F25" s="74"/>
      <c r="G25" s="74"/>
      <c r="H25" s="74"/>
      <c r="I25" s="74"/>
      <c r="J25" s="74"/>
      <c r="K25" s="74"/>
      <c r="L25" s="74"/>
      <c r="M25" s="74"/>
      <c r="N25" s="75">
        <f t="shared" si="7"/>
        <v>6774</v>
      </c>
      <c r="O25" s="74">
        <f>ROUND(D25*25/100,0)</f>
        <v>1694</v>
      </c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7"/>
      <c r="AA25" s="78">
        <f t="shared" si="11"/>
        <v>1694</v>
      </c>
      <c r="AB25" s="79">
        <f t="shared" si="0"/>
        <v>5080</v>
      </c>
      <c r="AC25" s="80"/>
      <c r="AD25" s="250"/>
      <c r="AE25" s="250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</row>
    <row r="26" spans="2:42" s="68" customFormat="1" ht="18.95" customHeight="1">
      <c r="B26" s="69"/>
      <c r="C26" s="248" t="s">
        <v>366</v>
      </c>
      <c r="D26" s="77"/>
      <c r="E26" s="77"/>
      <c r="F26" s="77"/>
      <c r="G26" s="77"/>
      <c r="H26" s="77">
        <f>IF('GA-55'!I2="Yes",AJ22,0)</f>
        <v>802</v>
      </c>
      <c r="I26" s="77"/>
      <c r="J26" s="77"/>
      <c r="K26" s="77"/>
      <c r="L26" s="77"/>
      <c r="M26" s="77"/>
      <c r="N26" s="249">
        <f t="shared" si="7"/>
        <v>802</v>
      </c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254">
        <f t="shared" si="11"/>
        <v>0</v>
      </c>
      <c r="AB26" s="255">
        <f t="shared" si="0"/>
        <v>802</v>
      </c>
      <c r="AC26" s="80"/>
      <c r="AD26" s="250"/>
      <c r="AE26" s="250"/>
      <c r="AF26" s="252"/>
      <c r="AG26" s="252"/>
      <c r="AH26" s="252"/>
      <c r="AI26" s="252"/>
      <c r="AJ26" s="252"/>
      <c r="AK26" s="252"/>
      <c r="AL26" s="252"/>
      <c r="AM26" s="252"/>
      <c r="AN26" s="252"/>
      <c r="AO26" s="252"/>
      <c r="AP26" s="252"/>
    </row>
    <row r="27" spans="2:42" s="68" customFormat="1" ht="18.95" customHeight="1">
      <c r="B27" s="69"/>
      <c r="C27" s="82" t="s">
        <v>66</v>
      </c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5">
        <f t="shared" si="7"/>
        <v>0</v>
      </c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7"/>
      <c r="AA27" s="78">
        <f t="shared" si="11"/>
        <v>0</v>
      </c>
      <c r="AB27" s="79">
        <f t="shared" si="0"/>
        <v>0</v>
      </c>
      <c r="AC27" s="80"/>
      <c r="AD27" s="210"/>
      <c r="AE27" s="210"/>
    </row>
    <row r="28" spans="2:42" s="68" customFormat="1" ht="18.95" customHeight="1">
      <c r="B28" s="69"/>
      <c r="C28" s="82" t="s">
        <v>67</v>
      </c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5">
        <f t="shared" si="7"/>
        <v>0</v>
      </c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7"/>
      <c r="AA28" s="78">
        <f t="shared" si="11"/>
        <v>0</v>
      </c>
      <c r="AB28" s="79">
        <f t="shared" si="0"/>
        <v>0</v>
      </c>
      <c r="AC28" s="80"/>
      <c r="AD28" s="210"/>
      <c r="AE28" s="210"/>
    </row>
    <row r="29" spans="2:42" s="68" customFormat="1" ht="18.95" customHeight="1">
      <c r="B29" s="69"/>
      <c r="C29" s="82" t="s">
        <v>68</v>
      </c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5">
        <f t="shared" si="7"/>
        <v>0</v>
      </c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7"/>
      <c r="AA29" s="78">
        <f t="shared" si="11"/>
        <v>0</v>
      </c>
      <c r="AB29" s="79">
        <f t="shared" si="0"/>
        <v>0</v>
      </c>
      <c r="AC29" s="80"/>
      <c r="AD29" s="210"/>
      <c r="AE29" s="210"/>
    </row>
    <row r="30" spans="2:42" s="68" customFormat="1" ht="18.95" customHeight="1">
      <c r="B30" s="69"/>
      <c r="C30" s="82" t="s">
        <v>48</v>
      </c>
      <c r="D30" s="74"/>
      <c r="E30" s="74">
        <v>0</v>
      </c>
      <c r="F30" s="74">
        <v>0</v>
      </c>
      <c r="G30" s="74"/>
      <c r="H30" s="74"/>
      <c r="I30" s="74"/>
      <c r="J30" s="74"/>
      <c r="K30" s="74"/>
      <c r="L30" s="74"/>
      <c r="M30" s="74"/>
      <c r="N30" s="75">
        <f t="shared" si="7"/>
        <v>0</v>
      </c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7"/>
      <c r="AA30" s="78">
        <f t="shared" si="11"/>
        <v>0</v>
      </c>
      <c r="AB30" s="79">
        <f t="shared" si="0"/>
        <v>0</v>
      </c>
      <c r="AC30" s="80"/>
      <c r="AD30" s="210"/>
      <c r="AE30" s="210"/>
    </row>
    <row r="31" spans="2:42" s="70" customFormat="1" ht="70.5" customHeight="1" thickBot="1">
      <c r="B31" s="71"/>
      <c r="C31" s="84" t="s">
        <v>40</v>
      </c>
      <c r="D31" s="85">
        <f>SUM(D10:D30)</f>
        <v>503224</v>
      </c>
      <c r="E31" s="85">
        <f t="shared" ref="E31:AB31" si="33">SUM(E10:E30)</f>
        <v>0</v>
      </c>
      <c r="F31" s="85">
        <f t="shared" si="33"/>
        <v>0</v>
      </c>
      <c r="G31" s="85">
        <f t="shared" si="33"/>
        <v>0</v>
      </c>
      <c r="H31" s="85">
        <f t="shared" si="33"/>
        <v>225255</v>
      </c>
      <c r="I31" s="85">
        <f t="shared" si="33"/>
        <v>42876</v>
      </c>
      <c r="J31" s="85">
        <f t="shared" si="33"/>
        <v>0</v>
      </c>
      <c r="K31" s="85">
        <f t="shared" si="33"/>
        <v>0</v>
      </c>
      <c r="L31" s="85">
        <f t="shared" si="33"/>
        <v>0</v>
      </c>
      <c r="M31" s="85">
        <f t="shared" si="33"/>
        <v>0</v>
      </c>
      <c r="N31" s="85">
        <f t="shared" si="33"/>
        <v>771355</v>
      </c>
      <c r="O31" s="85">
        <f t="shared" si="33"/>
        <v>46978</v>
      </c>
      <c r="P31" s="85">
        <f t="shared" si="33"/>
        <v>0</v>
      </c>
      <c r="Q31" s="85">
        <f t="shared" si="33"/>
        <v>36000</v>
      </c>
      <c r="R31" s="85">
        <f t="shared" si="33"/>
        <v>0</v>
      </c>
      <c r="S31" s="85">
        <f t="shared" si="33"/>
        <v>7896</v>
      </c>
      <c r="T31" s="85">
        <f t="shared" si="33"/>
        <v>66240</v>
      </c>
      <c r="U31" s="86">
        <f t="shared" si="33"/>
        <v>0</v>
      </c>
      <c r="V31" s="85">
        <f t="shared" si="33"/>
        <v>0</v>
      </c>
      <c r="W31" s="85">
        <f t="shared" si="33"/>
        <v>0</v>
      </c>
      <c r="X31" s="85">
        <f t="shared" si="33"/>
        <v>0</v>
      </c>
      <c r="Y31" s="85">
        <f t="shared" si="33"/>
        <v>250</v>
      </c>
      <c r="Z31" s="85">
        <f t="shared" si="33"/>
        <v>0</v>
      </c>
      <c r="AA31" s="85">
        <f t="shared" si="33"/>
        <v>157364</v>
      </c>
      <c r="AB31" s="87">
        <f t="shared" si="33"/>
        <v>613991</v>
      </c>
      <c r="AC31" s="88"/>
      <c r="AD31" s="211"/>
      <c r="AE31" s="211"/>
    </row>
    <row r="32" spans="2:42" s="72" customFormat="1"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212"/>
      <c r="AE32" s="212"/>
    </row>
    <row r="33" spans="3:31" s="72" customFormat="1"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212"/>
      <c r="AE33" s="212"/>
    </row>
    <row r="34" spans="3:31" s="72" customFormat="1"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212"/>
      <c r="AE34" s="212"/>
    </row>
    <row r="35" spans="3:31"/>
    <row r="36" spans="3:31">
      <c r="E36" s="91" t="s">
        <v>41</v>
      </c>
      <c r="AB36" s="91" t="s">
        <v>42</v>
      </c>
    </row>
    <row r="37" spans="3:31"/>
    <row r="38" spans="3:31">
      <c r="C38" s="261"/>
      <c r="D38" s="261"/>
      <c r="E38" s="261"/>
      <c r="F38" s="261"/>
      <c r="G38" s="261"/>
      <c r="H38" s="261"/>
      <c r="I38" s="261"/>
      <c r="J38" s="261"/>
      <c r="K38" s="261"/>
      <c r="L38" s="261"/>
      <c r="M38" s="261"/>
      <c r="N38" s="261"/>
      <c r="O38" s="261"/>
      <c r="P38" s="261"/>
      <c r="Q38" s="261"/>
      <c r="R38" s="261"/>
      <c r="S38" s="261"/>
      <c r="T38" s="261"/>
      <c r="U38" s="261"/>
      <c r="V38" s="261"/>
      <c r="W38" s="261"/>
      <c r="X38" s="261"/>
      <c r="Y38" s="261"/>
      <c r="Z38" s="261"/>
      <c r="AA38" s="261"/>
      <c r="AB38" s="261"/>
      <c r="AC38" s="261"/>
    </row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Y11:Y30 D23:Y23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B7" sqref="B7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7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90" t="s">
        <v>301</v>
      </c>
      <c r="B1" s="290"/>
      <c r="C1" s="290"/>
      <c r="D1" s="290"/>
      <c r="E1" s="290"/>
      <c r="F1" s="290"/>
    </row>
    <row r="2" spans="1:122" ht="27.75" customHeight="1">
      <c r="A2" s="291" t="str">
        <f>'GA-55'!D6&amp; " ,   " &amp;'GA-55'!K6&amp;"                         PAN-  "&amp;'GA-55'!P6</f>
        <v>PARMANAND MEGHWAL ,   SR TEACHER                         PAN-  ASQPM6311G</v>
      </c>
      <c r="B2" s="291"/>
      <c r="C2" s="291"/>
      <c r="D2" s="291"/>
      <c r="E2" s="291"/>
      <c r="F2" s="291"/>
    </row>
    <row r="3" spans="1:122" ht="15" customHeight="1">
      <c r="A3" s="232" t="s">
        <v>302</v>
      </c>
      <c r="B3" s="36">
        <v>0</v>
      </c>
      <c r="C3" s="37"/>
      <c r="D3" s="235" t="s">
        <v>322</v>
      </c>
      <c r="E3" s="36">
        <v>0</v>
      </c>
      <c r="F3" s="32" t="s">
        <v>76</v>
      </c>
      <c r="DR3" s="3" t="s">
        <v>10</v>
      </c>
    </row>
    <row r="4" spans="1:122">
      <c r="A4" s="233" t="s">
        <v>303</v>
      </c>
      <c r="B4" s="38">
        <v>0</v>
      </c>
      <c r="C4" s="39"/>
      <c r="D4" s="236" t="s">
        <v>330</v>
      </c>
      <c r="E4" s="38">
        <v>0</v>
      </c>
      <c r="F4" s="32">
        <f>'GA-55'!N31-'GA-55'!I31</f>
        <v>728479</v>
      </c>
      <c r="DR4" s="3"/>
    </row>
    <row r="5" spans="1:122" ht="15" customHeight="1">
      <c r="A5" s="232" t="s">
        <v>304</v>
      </c>
      <c r="B5" s="36">
        <v>0</v>
      </c>
      <c r="C5" s="37"/>
      <c r="D5" s="237" t="s">
        <v>323</v>
      </c>
      <c r="E5" s="36">
        <v>0</v>
      </c>
      <c r="F5" s="33" t="s">
        <v>18</v>
      </c>
      <c r="DR5" s="3"/>
    </row>
    <row r="6" spans="1:122" ht="17.25" customHeight="1">
      <c r="A6" s="234" t="s">
        <v>306</v>
      </c>
      <c r="B6" s="38">
        <v>0</v>
      </c>
      <c r="C6" s="39"/>
      <c r="D6" s="236" t="s">
        <v>329</v>
      </c>
      <c r="E6" s="38">
        <v>0</v>
      </c>
      <c r="F6" s="33">
        <f>'Tax Old Regime'!Q47</f>
        <v>572140</v>
      </c>
      <c r="DR6" s="3"/>
    </row>
    <row r="7" spans="1:122" ht="15" customHeight="1">
      <c r="A7" s="232" t="s">
        <v>305</v>
      </c>
      <c r="B7" s="36">
        <v>0</v>
      </c>
      <c r="C7" s="37"/>
      <c r="D7" s="238" t="s">
        <v>324</v>
      </c>
      <c r="E7" s="36">
        <v>0</v>
      </c>
      <c r="F7" s="34" t="s">
        <v>43</v>
      </c>
      <c r="DR7" s="3"/>
    </row>
    <row r="8" spans="1:122" ht="15" customHeight="1">
      <c r="A8" s="234" t="s">
        <v>307</v>
      </c>
      <c r="B8" s="40">
        <v>0</v>
      </c>
      <c r="C8" s="39"/>
      <c r="D8" s="236" t="s">
        <v>326</v>
      </c>
      <c r="E8" s="40">
        <v>0</v>
      </c>
      <c r="F8" s="35">
        <f>'GA-55'!X31</f>
        <v>0</v>
      </c>
      <c r="DR8" s="3"/>
    </row>
    <row r="9" spans="1:122" ht="15" customHeight="1">
      <c r="A9" s="232" t="s">
        <v>308</v>
      </c>
      <c r="B9" s="36">
        <v>0</v>
      </c>
      <c r="C9" s="37"/>
      <c r="D9" s="239" t="s">
        <v>325</v>
      </c>
      <c r="E9" s="36">
        <v>0</v>
      </c>
      <c r="F9" s="292" t="s">
        <v>55</v>
      </c>
      <c r="DR9" s="3"/>
    </row>
    <row r="10" spans="1:122" ht="15" customHeight="1">
      <c r="A10" s="234" t="s">
        <v>309</v>
      </c>
      <c r="B10" s="40">
        <v>0</v>
      </c>
      <c r="C10" s="39"/>
      <c r="D10" s="240" t="s">
        <v>328</v>
      </c>
      <c r="E10" s="40">
        <v>0</v>
      </c>
      <c r="F10" s="292"/>
      <c r="DR10" s="3" t="s">
        <v>11</v>
      </c>
    </row>
    <row r="11" spans="1:122" ht="15" customHeight="1">
      <c r="A11" s="232" t="s">
        <v>310</v>
      </c>
      <c r="B11" s="36">
        <v>0</v>
      </c>
      <c r="C11" s="37"/>
      <c r="D11" s="237" t="s">
        <v>327</v>
      </c>
      <c r="E11" s="36">
        <v>0</v>
      </c>
      <c r="F11" s="292"/>
      <c r="DR11" s="3" t="s">
        <v>13</v>
      </c>
    </row>
    <row r="12" spans="1:122" ht="15" customHeight="1">
      <c r="A12" s="234" t="s">
        <v>311</v>
      </c>
      <c r="B12" s="40">
        <v>0</v>
      </c>
      <c r="C12" s="39"/>
      <c r="D12" s="241" t="s">
        <v>343</v>
      </c>
      <c r="E12" s="40">
        <v>0</v>
      </c>
      <c r="F12" s="33">
        <f>'Tax Old Regime'!Q31</f>
        <v>149218</v>
      </c>
      <c r="DR12" s="3" t="s">
        <v>4</v>
      </c>
    </row>
    <row r="13" spans="1:122" ht="15" customHeight="1">
      <c r="A13" s="232" t="s">
        <v>312</v>
      </c>
      <c r="B13" s="36">
        <v>0</v>
      </c>
      <c r="C13" s="37"/>
      <c r="D13" s="242" t="s">
        <v>331</v>
      </c>
      <c r="E13" s="36">
        <v>0</v>
      </c>
      <c r="F13" s="33"/>
      <c r="DR13" s="3"/>
    </row>
    <row r="14" spans="1:122" ht="15" customHeight="1">
      <c r="A14" s="234" t="s">
        <v>313</v>
      </c>
      <c r="B14" s="40">
        <v>0</v>
      </c>
      <c r="C14" s="39"/>
      <c r="D14" s="236" t="s">
        <v>332</v>
      </c>
      <c r="E14" s="40">
        <v>0</v>
      </c>
      <c r="F14" s="293" t="s">
        <v>336</v>
      </c>
      <c r="DR14" s="3" t="s">
        <v>0</v>
      </c>
    </row>
    <row r="15" spans="1:122" ht="15" customHeight="1">
      <c r="A15" s="232" t="s">
        <v>316</v>
      </c>
      <c r="B15" s="36">
        <v>0</v>
      </c>
      <c r="C15" s="37"/>
      <c r="D15" s="237" t="s">
        <v>333</v>
      </c>
      <c r="E15" s="36">
        <v>0</v>
      </c>
      <c r="F15" s="293"/>
      <c r="DR15" s="3" t="s">
        <v>13</v>
      </c>
    </row>
    <row r="16" spans="1:122" ht="15" customHeight="1">
      <c r="A16" s="234" t="s">
        <v>314</v>
      </c>
      <c r="B16" s="40">
        <v>0</v>
      </c>
      <c r="C16" s="39"/>
      <c r="D16" s="236" t="s">
        <v>335</v>
      </c>
      <c r="E16" s="40">
        <v>0</v>
      </c>
      <c r="F16" s="293"/>
      <c r="DR16" s="3" t="s">
        <v>14</v>
      </c>
    </row>
    <row r="17" spans="1:122" ht="15" customHeight="1">
      <c r="A17" s="232" t="s">
        <v>315</v>
      </c>
      <c r="B17" s="36">
        <v>0</v>
      </c>
      <c r="C17" s="37"/>
      <c r="D17" s="237" t="s">
        <v>338</v>
      </c>
      <c r="E17" s="36">
        <v>0</v>
      </c>
      <c r="F17" s="296">
        <f>IF(B3&gt;=1,(F4*10%+B3),0)</f>
        <v>0</v>
      </c>
      <c r="DR17" s="3" t="s">
        <v>5</v>
      </c>
    </row>
    <row r="18" spans="1:122" ht="15" customHeight="1">
      <c r="A18" s="234" t="s">
        <v>321</v>
      </c>
      <c r="B18" s="40">
        <v>0</v>
      </c>
      <c r="C18" s="39"/>
      <c r="D18" s="236" t="s">
        <v>339</v>
      </c>
      <c r="E18" s="40">
        <v>0</v>
      </c>
      <c r="F18" s="296"/>
      <c r="DR18" s="3" t="s">
        <v>15</v>
      </c>
    </row>
    <row r="19" spans="1:122" ht="15" customHeight="1">
      <c r="A19" s="232" t="s">
        <v>337</v>
      </c>
      <c r="B19" s="36">
        <v>0</v>
      </c>
      <c r="C19" s="223"/>
      <c r="D19" s="237" t="s">
        <v>340</v>
      </c>
      <c r="E19" s="36">
        <v>0</v>
      </c>
      <c r="F19" s="221"/>
      <c r="DR19" s="3"/>
    </row>
    <row r="20" spans="1:122" ht="15" customHeight="1">
      <c r="A20" s="295" t="str">
        <f>'Tax Old Regime'!B63</f>
        <v>Income Tax Payable</v>
      </c>
      <c r="B20" s="295"/>
      <c r="C20" s="29"/>
      <c r="D20" s="30">
        <f>'Tax Old Regime'!Q63</f>
        <v>28005</v>
      </c>
      <c r="E20" s="41" t="s">
        <v>64</v>
      </c>
      <c r="F20" s="31">
        <f>'GA-55'!I31</f>
        <v>42876</v>
      </c>
      <c r="DR20" s="3" t="s">
        <v>7</v>
      </c>
    </row>
    <row r="21" spans="1:122" ht="15" customHeight="1">
      <c r="A21" s="294" t="str">
        <f>"Total Rebate of (US 80C, 80CCC,80CCD(1)) =  "&amp;'Tax Old Regime'!Q31</f>
        <v>Total Rebate of (US 80C, 80CCC,80CCD(1)) =  149218</v>
      </c>
      <c r="B21" s="294"/>
      <c r="C21" s="2"/>
      <c r="D21" s="18" t="str">
        <f>"Investable Amount = "&amp;(150000-'Tax Old Regime'!Q31)</f>
        <v>Investable Amount = 782</v>
      </c>
      <c r="E21" s="2"/>
      <c r="F21" s="2"/>
      <c r="DR21" s="3" t="s">
        <v>12</v>
      </c>
    </row>
    <row r="22" spans="1:122" ht="48" customHeight="1">
      <c r="A22" s="288" t="s">
        <v>78</v>
      </c>
      <c r="B22" s="289"/>
      <c r="C22" s="289"/>
      <c r="D22" s="289"/>
      <c r="E22" s="289"/>
      <c r="F22" s="289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workbookViewId="0">
      <selection activeCell="M13" sqref="M13:O13"/>
    </sheetView>
  </sheetViews>
  <sheetFormatPr defaultColWidth="0" defaultRowHeight="15.75" zeroHeight="1"/>
  <cols>
    <col min="1" max="1" width="3" customWidth="1" collapsed="1"/>
    <col min="2" max="2" width="3.5703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4.140625" style="8" customWidth="1" collapsed="1"/>
    <col min="8" max="8" width="2.710937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5703125" style="8" customWidth="1" collapsed="1"/>
    <col min="15" max="15" width="11.42578125" style="8" customWidth="1" collapsed="1"/>
    <col min="16" max="16" width="3.140625" style="10" customWidth="1" collapsed="1"/>
    <col min="17" max="17" width="23" style="11" customWidth="1" collapsed="1"/>
    <col min="18" max="18" width="2.42578125" customWidth="1" collapsed="1"/>
    <col min="19" max="16384" width="9.140625" hidden="1" collapsed="1"/>
  </cols>
  <sheetData>
    <row r="1" spans="2:17" s="12" customFormat="1" ht="21">
      <c r="B1" s="350" t="str">
        <f>'GA-55'!C4</f>
        <v>GOVT SR. SEC SCHOOL DILOD GORDHANPURA, ATRU BARAN</v>
      </c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</row>
    <row r="2" spans="2:17" s="12" customFormat="1" ht="16.5" thickBot="1">
      <c r="B2" s="351" t="s">
        <v>347</v>
      </c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</row>
    <row r="3" spans="2:17" s="12" customFormat="1" ht="15" customHeight="1">
      <c r="B3" s="45">
        <v>1</v>
      </c>
      <c r="C3" s="352" t="s">
        <v>299</v>
      </c>
      <c r="D3" s="353"/>
      <c r="E3" s="363" t="str">
        <f>'GA-55'!D6</f>
        <v>PARMANAND MEGHWAL</v>
      </c>
      <c r="F3" s="363"/>
      <c r="G3" s="363"/>
      <c r="H3" s="363"/>
      <c r="I3" s="363"/>
      <c r="J3" s="363"/>
      <c r="K3" s="230" t="s">
        <v>298</v>
      </c>
      <c r="L3" s="364" t="str">
        <f>'GA-55'!K6</f>
        <v>SR TEACHER</v>
      </c>
      <c r="M3" s="364"/>
      <c r="N3" s="364"/>
      <c r="O3" s="46" t="s">
        <v>19</v>
      </c>
      <c r="P3" s="354" t="str">
        <f>IF('GA-55'!P6="","",'GA-55'!P6)</f>
        <v>ASQPM6311G</v>
      </c>
      <c r="Q3" s="355"/>
    </row>
    <row r="4" spans="2:17" s="12" customFormat="1" ht="15" customHeight="1">
      <c r="B4" s="47">
        <v>2</v>
      </c>
      <c r="C4" s="356" t="s">
        <v>348</v>
      </c>
      <c r="D4" s="356"/>
      <c r="E4" s="310"/>
      <c r="F4" s="310"/>
      <c r="G4" s="310"/>
      <c r="H4" s="310"/>
      <c r="I4" s="310"/>
      <c r="J4" s="310"/>
      <c r="K4" s="356"/>
      <c r="L4" s="310"/>
      <c r="M4" s="310"/>
      <c r="N4" s="310"/>
      <c r="O4" s="356"/>
      <c r="P4" s="226" t="s">
        <v>230</v>
      </c>
      <c r="Q4" s="48">
        <f>'GA-55'!N31</f>
        <v>771355</v>
      </c>
    </row>
    <row r="5" spans="2:17" s="12" customFormat="1" ht="15" customHeight="1">
      <c r="B5" s="47">
        <v>3</v>
      </c>
      <c r="C5" s="310" t="s">
        <v>228</v>
      </c>
      <c r="D5" s="357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  <c r="P5" s="226" t="s">
        <v>230</v>
      </c>
      <c r="Q5" s="49">
        <f>'Other Deduction'!B3</f>
        <v>0</v>
      </c>
    </row>
    <row r="6" spans="2:17" s="12" customFormat="1" ht="15" customHeight="1">
      <c r="B6" s="47"/>
      <c r="C6" s="332" t="s">
        <v>229</v>
      </c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4"/>
      <c r="P6" s="226" t="s">
        <v>230</v>
      </c>
      <c r="Q6" s="222">
        <f>'Other Deduction'!B19</f>
        <v>0</v>
      </c>
    </row>
    <row r="7" spans="2:17" s="12" customFormat="1" ht="15" customHeight="1">
      <c r="B7" s="47">
        <v>4</v>
      </c>
      <c r="C7" s="342" t="s">
        <v>234</v>
      </c>
      <c r="D7" s="342"/>
      <c r="E7" s="342"/>
      <c r="F7" s="342"/>
      <c r="G7" s="342"/>
      <c r="H7" s="342"/>
      <c r="I7" s="342"/>
      <c r="J7" s="342"/>
      <c r="K7" s="342"/>
      <c r="L7" s="342"/>
      <c r="M7" s="342"/>
      <c r="N7" s="342"/>
      <c r="O7" s="342"/>
      <c r="P7" s="226" t="s">
        <v>230</v>
      </c>
      <c r="Q7" s="49">
        <f>Q4-Q5-Q6</f>
        <v>771355</v>
      </c>
    </row>
    <row r="8" spans="2:17" s="12" customFormat="1" ht="15" customHeight="1">
      <c r="B8" s="307">
        <v>5</v>
      </c>
      <c r="C8" s="361" t="s">
        <v>231</v>
      </c>
      <c r="D8" s="343"/>
      <c r="E8" s="343"/>
      <c r="F8" s="343"/>
      <c r="G8" s="343"/>
      <c r="H8" s="343"/>
      <c r="I8" s="343"/>
      <c r="J8" s="343"/>
      <c r="K8" s="343"/>
      <c r="L8" s="343"/>
      <c r="M8" s="362">
        <f>'Other Deduction'!B4</f>
        <v>0</v>
      </c>
      <c r="N8" s="362"/>
      <c r="O8" s="362"/>
      <c r="P8" s="365"/>
      <c r="Q8" s="366"/>
    </row>
    <row r="9" spans="2:17" s="12" customFormat="1" ht="15" customHeight="1">
      <c r="B9" s="308"/>
      <c r="C9" s="332" t="s">
        <v>232</v>
      </c>
      <c r="D9" s="343"/>
      <c r="E9" s="343"/>
      <c r="F9" s="343"/>
      <c r="G9" s="343"/>
      <c r="H9" s="343"/>
      <c r="I9" s="343"/>
      <c r="J9" s="343"/>
      <c r="K9" s="343"/>
      <c r="L9" s="343"/>
      <c r="M9" s="362">
        <f>'Other Deduction'!B5</f>
        <v>0</v>
      </c>
      <c r="N9" s="362"/>
      <c r="O9" s="362"/>
      <c r="P9" s="367"/>
      <c r="Q9" s="368"/>
    </row>
    <row r="10" spans="2:17" s="12" customFormat="1" ht="15" customHeight="1">
      <c r="B10" s="309"/>
      <c r="C10" s="332" t="s">
        <v>233</v>
      </c>
      <c r="D10" s="343"/>
      <c r="E10" s="343"/>
      <c r="F10" s="343"/>
      <c r="G10" s="343"/>
      <c r="H10" s="343"/>
      <c r="I10" s="343"/>
      <c r="J10" s="343"/>
      <c r="K10" s="343"/>
      <c r="L10" s="343"/>
      <c r="M10" s="362">
        <f>IF(Q7&lt;50000,Q7,50000)</f>
        <v>50000</v>
      </c>
      <c r="N10" s="362"/>
      <c r="O10" s="362"/>
      <c r="P10" s="226" t="s">
        <v>230</v>
      </c>
      <c r="Q10" s="49">
        <f>SUM(M8:O10)</f>
        <v>50000</v>
      </c>
    </row>
    <row r="11" spans="2:17" s="12" customFormat="1" ht="15" customHeight="1">
      <c r="B11" s="47">
        <v>6</v>
      </c>
      <c r="C11" s="358" t="s">
        <v>235</v>
      </c>
      <c r="D11" s="359"/>
      <c r="E11" s="359"/>
      <c r="F11" s="359"/>
      <c r="G11" s="359"/>
      <c r="H11" s="359"/>
      <c r="I11" s="359"/>
      <c r="J11" s="359"/>
      <c r="K11" s="359"/>
      <c r="L11" s="359"/>
      <c r="M11" s="359"/>
      <c r="N11" s="359"/>
      <c r="O11" s="360"/>
      <c r="P11" s="226" t="s">
        <v>230</v>
      </c>
      <c r="Q11" s="49">
        <f>Q7-Q10</f>
        <v>721355</v>
      </c>
    </row>
    <row r="12" spans="2:17" s="12" customFormat="1" ht="15" customHeight="1">
      <c r="B12" s="384">
        <v>7</v>
      </c>
      <c r="C12" s="310" t="s">
        <v>236</v>
      </c>
      <c r="D12" s="357"/>
      <c r="E12" s="357"/>
      <c r="F12" s="357"/>
      <c r="G12" s="357"/>
      <c r="H12" s="357"/>
      <c r="I12" s="357"/>
      <c r="J12" s="357"/>
      <c r="K12" s="320" t="s">
        <v>237</v>
      </c>
      <c r="L12" s="320"/>
      <c r="M12" s="362">
        <f>'Other Deduction'!B6</f>
        <v>0</v>
      </c>
      <c r="N12" s="362"/>
      <c r="O12" s="362"/>
      <c r="P12" s="370"/>
      <c r="Q12" s="371"/>
    </row>
    <row r="13" spans="2:17" s="12" customFormat="1" ht="15" customHeight="1">
      <c r="B13" s="384"/>
      <c r="C13" s="388" t="s">
        <v>238</v>
      </c>
      <c r="D13" s="389"/>
      <c r="E13" s="316" t="s">
        <v>239</v>
      </c>
      <c r="F13" s="317"/>
      <c r="G13" s="318"/>
      <c r="H13" s="372" t="s">
        <v>240</v>
      </c>
      <c r="I13" s="372"/>
      <c r="J13" s="372"/>
      <c r="K13" s="370" t="s">
        <v>241</v>
      </c>
      <c r="L13" s="370"/>
      <c r="M13" s="320" t="s">
        <v>242</v>
      </c>
      <c r="N13" s="320"/>
      <c r="O13" s="320"/>
      <c r="P13" s="370"/>
      <c r="Q13" s="371"/>
    </row>
    <row r="14" spans="2:17" s="12" customFormat="1" ht="15" customHeight="1">
      <c r="B14" s="384"/>
      <c r="C14" s="390"/>
      <c r="D14" s="391"/>
      <c r="E14" s="385">
        <f>ROUND(M12*0.3,0)</f>
        <v>0</v>
      </c>
      <c r="F14" s="386"/>
      <c r="G14" s="387"/>
      <c r="H14" s="362">
        <f>IF(('GA-55'!W31+'Other Deduction'!B9)&gt;200000,200000,('GA-55'!W31+'Other Deduction'!B9))</f>
        <v>0</v>
      </c>
      <c r="I14" s="362"/>
      <c r="J14" s="362"/>
      <c r="K14" s="362">
        <f>'Other Deduction'!B7</f>
        <v>0</v>
      </c>
      <c r="L14" s="362"/>
      <c r="M14" s="362">
        <f>E14+H14+K14</f>
        <v>0</v>
      </c>
      <c r="N14" s="362"/>
      <c r="O14" s="362"/>
      <c r="P14" s="370"/>
      <c r="Q14" s="371"/>
    </row>
    <row r="15" spans="2:17" s="12" customFormat="1" ht="15" customHeight="1">
      <c r="B15" s="47"/>
      <c r="C15" s="358" t="s">
        <v>244</v>
      </c>
      <c r="D15" s="359"/>
      <c r="E15" s="359"/>
      <c r="F15" s="359"/>
      <c r="G15" s="359"/>
      <c r="H15" s="359"/>
      <c r="I15" s="359"/>
      <c r="J15" s="359"/>
      <c r="K15" s="359"/>
      <c r="L15" s="359"/>
      <c r="M15" s="359"/>
      <c r="N15" s="359"/>
      <c r="O15" s="360"/>
      <c r="P15" s="226" t="s">
        <v>230</v>
      </c>
      <c r="Q15" s="49">
        <f>M12-M14</f>
        <v>0</v>
      </c>
    </row>
    <row r="16" spans="2:17" s="12" customFormat="1" ht="15" customHeight="1">
      <c r="B16" s="47">
        <v>8</v>
      </c>
      <c r="C16" s="358" t="s">
        <v>243</v>
      </c>
      <c r="D16" s="359"/>
      <c r="E16" s="359"/>
      <c r="F16" s="359"/>
      <c r="G16" s="359"/>
      <c r="H16" s="359"/>
      <c r="I16" s="359"/>
      <c r="J16" s="359"/>
      <c r="K16" s="359"/>
      <c r="L16" s="359"/>
      <c r="M16" s="359"/>
      <c r="N16" s="359"/>
      <c r="O16" s="360"/>
      <c r="P16" s="226" t="s">
        <v>230</v>
      </c>
      <c r="Q16" s="49">
        <f>Q11+Q15</f>
        <v>721355</v>
      </c>
    </row>
    <row r="17" spans="2:17" s="12" customFormat="1" ht="15" customHeight="1">
      <c r="B17" s="47">
        <v>9</v>
      </c>
      <c r="C17" s="357" t="s">
        <v>245</v>
      </c>
      <c r="D17" s="357"/>
      <c r="E17" s="357"/>
      <c r="F17" s="357"/>
      <c r="G17" s="357"/>
      <c r="H17" s="357"/>
      <c r="I17" s="357"/>
      <c r="J17" s="357"/>
      <c r="K17" s="357"/>
      <c r="L17" s="357"/>
      <c r="M17" s="357"/>
      <c r="N17" s="357"/>
      <c r="O17" s="357"/>
      <c r="P17" s="226" t="s">
        <v>230</v>
      </c>
      <c r="Q17" s="49">
        <f>'Other Deduction'!E3+'Other Deduction'!E4</f>
        <v>0</v>
      </c>
    </row>
    <row r="18" spans="2:17" s="12" customFormat="1" ht="15" customHeight="1">
      <c r="B18" s="47">
        <v>10</v>
      </c>
      <c r="C18" s="373" t="s">
        <v>246</v>
      </c>
      <c r="D18" s="374"/>
      <c r="E18" s="374"/>
      <c r="F18" s="374"/>
      <c r="G18" s="374"/>
      <c r="H18" s="374"/>
      <c r="I18" s="374"/>
      <c r="J18" s="374"/>
      <c r="K18" s="374"/>
      <c r="L18" s="374"/>
      <c r="M18" s="374"/>
      <c r="N18" s="374"/>
      <c r="O18" s="375"/>
      <c r="P18" s="226" t="s">
        <v>230</v>
      </c>
      <c r="Q18" s="48">
        <f>Q16+Q17</f>
        <v>721355</v>
      </c>
    </row>
    <row r="19" spans="2:17" s="12" customFormat="1" ht="15" customHeight="1">
      <c r="B19" s="307">
        <v>11</v>
      </c>
      <c r="C19" s="335" t="s">
        <v>341</v>
      </c>
      <c r="D19" s="335"/>
      <c r="E19" s="335"/>
      <c r="F19" s="335"/>
      <c r="G19" s="335"/>
      <c r="H19" s="335"/>
      <c r="I19" s="335"/>
      <c r="J19" s="335"/>
      <c r="K19" s="335"/>
      <c r="L19" s="335"/>
      <c r="M19" s="335"/>
      <c r="N19" s="335"/>
      <c r="O19" s="335"/>
      <c r="P19" s="335"/>
      <c r="Q19" s="345"/>
    </row>
    <row r="20" spans="2:17" s="12" customFormat="1" ht="15" customHeight="1">
      <c r="B20" s="308"/>
      <c r="C20" s="310" t="s">
        <v>247</v>
      </c>
      <c r="D20" s="376"/>
      <c r="E20" s="376"/>
      <c r="F20" s="376"/>
      <c r="G20" s="376"/>
      <c r="H20" s="376"/>
      <c r="I20" s="376"/>
      <c r="J20" s="376"/>
      <c r="K20" s="376"/>
      <c r="L20" s="376"/>
      <c r="M20" s="376"/>
      <c r="N20" s="376"/>
      <c r="O20" s="376"/>
      <c r="P20" s="376"/>
      <c r="Q20" s="377"/>
    </row>
    <row r="21" spans="2:17" s="12" customFormat="1" ht="17.25" customHeight="1">
      <c r="B21" s="308"/>
      <c r="C21" s="50" t="s">
        <v>20</v>
      </c>
      <c r="D21" s="310" t="s">
        <v>248</v>
      </c>
      <c r="E21" s="310"/>
      <c r="F21" s="310"/>
      <c r="G21" s="310"/>
      <c r="H21" s="226" t="s">
        <v>230</v>
      </c>
      <c r="I21" s="51">
        <f>'GA-55'!Q31</f>
        <v>36000</v>
      </c>
      <c r="J21" s="50" t="s">
        <v>21</v>
      </c>
      <c r="K21" s="297" t="s">
        <v>257</v>
      </c>
      <c r="L21" s="298"/>
      <c r="M21" s="299"/>
      <c r="N21" s="226" t="s">
        <v>230</v>
      </c>
      <c r="O21" s="51">
        <f>'Other Deduction'!E6</f>
        <v>0</v>
      </c>
      <c r="P21" s="365"/>
      <c r="Q21" s="366"/>
    </row>
    <row r="22" spans="2:17" s="12" customFormat="1" ht="17.25" customHeight="1">
      <c r="B22" s="308"/>
      <c r="C22" s="50" t="s">
        <v>22</v>
      </c>
      <c r="D22" s="310" t="s">
        <v>249</v>
      </c>
      <c r="E22" s="310"/>
      <c r="F22" s="310"/>
      <c r="G22" s="310"/>
      <c r="H22" s="226" t="s">
        <v>230</v>
      </c>
      <c r="I22" s="51">
        <f>'GA-55'!T31+'Other Deduction'!B10</f>
        <v>66240</v>
      </c>
      <c r="J22" s="50" t="s">
        <v>23</v>
      </c>
      <c r="K22" s="297" t="s">
        <v>258</v>
      </c>
      <c r="L22" s="298"/>
      <c r="M22" s="299"/>
      <c r="N22" s="226" t="s">
        <v>230</v>
      </c>
      <c r="O22" s="52">
        <f>'Other Deduction'!B15</f>
        <v>0</v>
      </c>
      <c r="P22" s="392"/>
      <c r="Q22" s="393"/>
    </row>
    <row r="23" spans="2:17" s="12" customFormat="1" ht="17.25" customHeight="1">
      <c r="B23" s="308"/>
      <c r="C23" s="50" t="s">
        <v>24</v>
      </c>
      <c r="D23" s="310" t="s">
        <v>250</v>
      </c>
      <c r="E23" s="310"/>
      <c r="F23" s="310"/>
      <c r="G23" s="310"/>
      <c r="H23" s="226" t="s">
        <v>230</v>
      </c>
      <c r="I23" s="51">
        <f>'Other Deduction'!B14</f>
        <v>0</v>
      </c>
      <c r="J23" s="50" t="s">
        <v>25</v>
      </c>
      <c r="K23" s="297" t="s">
        <v>259</v>
      </c>
      <c r="L23" s="298"/>
      <c r="M23" s="299"/>
      <c r="N23" s="226" t="s">
        <v>230</v>
      </c>
      <c r="O23" s="52">
        <f>'Other Deduction'!B12</f>
        <v>0</v>
      </c>
      <c r="P23" s="392"/>
      <c r="Q23" s="393"/>
    </row>
    <row r="24" spans="2:17" s="12" customFormat="1" ht="17.25" customHeight="1">
      <c r="B24" s="308"/>
      <c r="C24" s="50" t="s">
        <v>26</v>
      </c>
      <c r="D24" s="310" t="s">
        <v>251</v>
      </c>
      <c r="E24" s="310"/>
      <c r="F24" s="310"/>
      <c r="G24" s="310"/>
      <c r="H24" s="226" t="s">
        <v>230</v>
      </c>
      <c r="I24" s="51">
        <f>'Other Deduction'!B16</f>
        <v>0</v>
      </c>
      <c r="J24" s="50" t="s">
        <v>27</v>
      </c>
      <c r="K24" s="297" t="s">
        <v>334</v>
      </c>
      <c r="L24" s="298"/>
      <c r="M24" s="299"/>
      <c r="N24" s="226" t="s">
        <v>230</v>
      </c>
      <c r="O24" s="51">
        <f>'Other Deduction'!E15</f>
        <v>0</v>
      </c>
      <c r="P24" s="392"/>
      <c r="Q24" s="393"/>
    </row>
    <row r="25" spans="2:17" s="12" customFormat="1" ht="17.25" customHeight="1">
      <c r="B25" s="308"/>
      <c r="C25" s="50" t="s">
        <v>28</v>
      </c>
      <c r="D25" s="310" t="s">
        <v>252</v>
      </c>
      <c r="E25" s="310"/>
      <c r="F25" s="310"/>
      <c r="G25" s="310"/>
      <c r="H25" s="226" t="s">
        <v>230</v>
      </c>
      <c r="I25" s="51">
        <f>'Other Deduction'!B17</f>
        <v>0</v>
      </c>
      <c r="J25" s="50" t="s">
        <v>31</v>
      </c>
      <c r="K25" s="297" t="s">
        <v>317</v>
      </c>
      <c r="L25" s="298"/>
      <c r="M25" s="299"/>
      <c r="N25" s="226" t="s">
        <v>230</v>
      </c>
      <c r="O25" s="51">
        <f>'Other Deduction'!E16</f>
        <v>0</v>
      </c>
      <c r="P25" s="392"/>
      <c r="Q25" s="393"/>
    </row>
    <row r="26" spans="2:17" s="12" customFormat="1" ht="30" customHeight="1">
      <c r="B26" s="308"/>
      <c r="C26" s="50" t="s">
        <v>30</v>
      </c>
      <c r="D26" s="394" t="s">
        <v>253</v>
      </c>
      <c r="E26" s="395"/>
      <c r="F26" s="395"/>
      <c r="G26" s="396"/>
      <c r="H26" s="226" t="s">
        <v>230</v>
      </c>
      <c r="I26" s="51">
        <f>'GA-55'!O31</f>
        <v>46978</v>
      </c>
      <c r="J26" s="50" t="s">
        <v>29</v>
      </c>
      <c r="K26" s="297" t="s">
        <v>318</v>
      </c>
      <c r="L26" s="397"/>
      <c r="M26" s="398"/>
      <c r="N26" s="226" t="s">
        <v>230</v>
      </c>
      <c r="O26" s="51">
        <f>'Other Deduction'!B11</f>
        <v>0</v>
      </c>
      <c r="P26" s="392"/>
      <c r="Q26" s="393"/>
    </row>
    <row r="27" spans="2:17" s="12" customFormat="1" ht="17.25" customHeight="1">
      <c r="B27" s="308"/>
      <c r="C27" s="50" t="s">
        <v>32</v>
      </c>
      <c r="D27" s="332" t="s">
        <v>254</v>
      </c>
      <c r="E27" s="333"/>
      <c r="F27" s="333"/>
      <c r="G27" s="334"/>
      <c r="H27" s="226" t="s">
        <v>230</v>
      </c>
      <c r="I27" s="52">
        <f>'GA-55'!U11</f>
        <v>0</v>
      </c>
      <c r="J27" s="50" t="s">
        <v>33</v>
      </c>
      <c r="K27" s="297" t="s">
        <v>319</v>
      </c>
      <c r="L27" s="298"/>
      <c r="M27" s="299"/>
      <c r="N27" s="226" t="s">
        <v>230</v>
      </c>
      <c r="O27" s="51">
        <f>'Other Deduction'!E5</f>
        <v>0</v>
      </c>
      <c r="P27" s="392"/>
      <c r="Q27" s="393"/>
    </row>
    <row r="28" spans="2:17" s="12" customFormat="1" ht="17.25" customHeight="1">
      <c r="B28" s="308"/>
      <c r="C28" s="50" t="s">
        <v>34</v>
      </c>
      <c r="D28" s="310" t="s">
        <v>255</v>
      </c>
      <c r="E28" s="310"/>
      <c r="F28" s="310"/>
      <c r="G28" s="310"/>
      <c r="H28" s="226" t="s">
        <v>230</v>
      </c>
      <c r="I28" s="52">
        <f>'Other Deduction'!B13</f>
        <v>0</v>
      </c>
      <c r="J28" s="50" t="s">
        <v>35</v>
      </c>
      <c r="K28" s="297" t="s">
        <v>320</v>
      </c>
      <c r="L28" s="298"/>
      <c r="M28" s="299"/>
      <c r="N28" s="226" t="s">
        <v>230</v>
      </c>
      <c r="O28" s="51">
        <f>'Other Deduction'!B18</f>
        <v>0</v>
      </c>
      <c r="P28" s="392"/>
      <c r="Q28" s="393"/>
    </row>
    <row r="29" spans="2:17" s="12" customFormat="1" ht="17.25" customHeight="1">
      <c r="B29" s="308"/>
      <c r="C29" s="50" t="s">
        <v>36</v>
      </c>
      <c r="D29" s="310" t="s">
        <v>256</v>
      </c>
      <c r="E29" s="310"/>
      <c r="F29" s="310"/>
      <c r="G29" s="310"/>
      <c r="H29" s="226" t="s">
        <v>230</v>
      </c>
      <c r="I29" s="51">
        <f>'GA-55'!V31+'Other Deduction'!B8</f>
        <v>0</v>
      </c>
      <c r="J29" s="50" t="s">
        <v>65</v>
      </c>
      <c r="K29" s="381"/>
      <c r="L29" s="381"/>
      <c r="M29" s="381"/>
      <c r="N29" s="226" t="s">
        <v>230</v>
      </c>
      <c r="O29" s="51"/>
      <c r="P29" s="392"/>
      <c r="Q29" s="393"/>
    </row>
    <row r="30" spans="2:17" s="12" customFormat="1" ht="15" customHeight="1">
      <c r="B30" s="308"/>
      <c r="C30" s="378" t="s">
        <v>260</v>
      </c>
      <c r="D30" s="379"/>
      <c r="E30" s="379"/>
      <c r="F30" s="379"/>
      <c r="G30" s="379"/>
      <c r="H30" s="379"/>
      <c r="I30" s="379"/>
      <c r="J30" s="379"/>
      <c r="K30" s="379"/>
      <c r="L30" s="379"/>
      <c r="M30" s="380"/>
      <c r="N30" s="226" t="s">
        <v>230</v>
      </c>
      <c r="O30" s="53">
        <f>SUM(I21:I29)+SUM(O21:O29)</f>
        <v>149218</v>
      </c>
      <c r="P30" s="367"/>
      <c r="Q30" s="368"/>
    </row>
    <row r="31" spans="2:17" s="12" customFormat="1" ht="15" customHeight="1">
      <c r="B31" s="308"/>
      <c r="C31" s="342" t="s">
        <v>262</v>
      </c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226" t="s">
        <v>230</v>
      </c>
      <c r="Q31" s="48">
        <f>IF(O30&lt;150001,ROUND(O30,0),150000)</f>
        <v>149218</v>
      </c>
    </row>
    <row r="32" spans="2:17" s="12" customFormat="1" ht="15" customHeight="1">
      <c r="B32" s="308"/>
      <c r="C32" s="332" t="s">
        <v>263</v>
      </c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4"/>
      <c r="P32" s="226" t="s">
        <v>230</v>
      </c>
      <c r="Q32" s="48">
        <f>'Other Deduction'!E7</f>
        <v>0</v>
      </c>
    </row>
    <row r="33" spans="2:17" s="12" customFormat="1" ht="15" customHeight="1">
      <c r="B33" s="309"/>
      <c r="C33" s="342" t="s">
        <v>261</v>
      </c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226" t="s">
        <v>230</v>
      </c>
      <c r="Q33" s="48">
        <f>SUM(Q31:Q32)</f>
        <v>149218</v>
      </c>
    </row>
    <row r="34" spans="2:17" s="12" customFormat="1" ht="15" customHeight="1">
      <c r="B34" s="307">
        <v>12</v>
      </c>
      <c r="C34" s="335" t="s">
        <v>264</v>
      </c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45"/>
    </row>
    <row r="35" spans="2:17" s="12" customFormat="1" ht="15" customHeight="1">
      <c r="B35" s="308"/>
      <c r="C35" s="346" t="s">
        <v>265</v>
      </c>
      <c r="D35" s="347"/>
      <c r="E35" s="347"/>
      <c r="F35" s="347"/>
      <c r="G35" s="347"/>
      <c r="H35" s="347"/>
      <c r="I35" s="347"/>
      <c r="J35" s="347"/>
      <c r="K35" s="347"/>
      <c r="L35" s="347"/>
      <c r="M35" s="347"/>
      <c r="N35" s="347"/>
      <c r="O35" s="348"/>
      <c r="P35" s="226" t="s">
        <v>230</v>
      </c>
      <c r="Q35" s="49">
        <f>'Other Deduction'!E8</f>
        <v>0</v>
      </c>
    </row>
    <row r="36" spans="2:17" s="12" customFormat="1" ht="15" customHeight="1">
      <c r="B36" s="308"/>
      <c r="C36" s="349" t="s">
        <v>267</v>
      </c>
      <c r="D36" s="349"/>
      <c r="E36" s="349"/>
      <c r="F36" s="349"/>
      <c r="G36" s="349"/>
      <c r="H36" s="349"/>
      <c r="I36" s="349"/>
      <c r="J36" s="349"/>
      <c r="K36" s="349"/>
      <c r="L36" s="349"/>
      <c r="M36" s="349"/>
      <c r="N36" s="349"/>
      <c r="O36" s="349"/>
      <c r="P36" s="226" t="s">
        <v>230</v>
      </c>
      <c r="Q36" s="49">
        <f>'Other Deduction'!E9</f>
        <v>0</v>
      </c>
    </row>
    <row r="37" spans="2:17" s="12" customFormat="1" ht="15" customHeight="1">
      <c r="B37" s="308"/>
      <c r="C37" s="349" t="s">
        <v>266</v>
      </c>
      <c r="D37" s="349"/>
      <c r="E37" s="349"/>
      <c r="F37" s="349"/>
      <c r="G37" s="349"/>
      <c r="H37" s="349"/>
      <c r="I37" s="349"/>
      <c r="J37" s="349"/>
      <c r="K37" s="349"/>
      <c r="L37" s="349"/>
      <c r="M37" s="349"/>
      <c r="N37" s="349"/>
      <c r="O37" s="349"/>
      <c r="P37" s="226" t="s">
        <v>230</v>
      </c>
      <c r="Q37" s="49">
        <f>'Other Deduction'!E10</f>
        <v>0</v>
      </c>
    </row>
    <row r="38" spans="2:17" s="12" customFormat="1" ht="15" customHeight="1">
      <c r="B38" s="308"/>
      <c r="C38" s="310" t="s">
        <v>268</v>
      </c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226" t="s">
        <v>230</v>
      </c>
      <c r="Q38" s="49">
        <f>'Other Deduction'!E11</f>
        <v>0</v>
      </c>
    </row>
    <row r="39" spans="2:17" s="12" customFormat="1" ht="15" customHeight="1">
      <c r="B39" s="308"/>
      <c r="C39" s="349" t="s">
        <v>344</v>
      </c>
      <c r="D39" s="349"/>
      <c r="E39" s="349"/>
      <c r="F39" s="349"/>
      <c r="G39" s="349"/>
      <c r="H39" s="349"/>
      <c r="I39" s="349"/>
      <c r="J39" s="349"/>
      <c r="K39" s="349"/>
      <c r="L39" s="349"/>
      <c r="M39" s="349"/>
      <c r="N39" s="349"/>
      <c r="O39" s="349"/>
      <c r="P39" s="226" t="s">
        <v>230</v>
      </c>
      <c r="Q39" s="49">
        <f>'Other Deduction'!E12</f>
        <v>0</v>
      </c>
    </row>
    <row r="40" spans="2:17" s="12" customFormat="1" ht="15" customHeight="1">
      <c r="B40" s="308"/>
      <c r="C40" s="346" t="s">
        <v>270</v>
      </c>
      <c r="D40" s="347"/>
      <c r="E40" s="347"/>
      <c r="F40" s="347"/>
      <c r="G40" s="347"/>
      <c r="H40" s="347"/>
      <c r="I40" s="347"/>
      <c r="J40" s="347"/>
      <c r="K40" s="347"/>
      <c r="L40" s="347"/>
      <c r="M40" s="347"/>
      <c r="N40" s="347"/>
      <c r="O40" s="348"/>
      <c r="P40" s="226" t="s">
        <v>230</v>
      </c>
      <c r="Q40" s="49">
        <f>'Other Deduction'!E13</f>
        <v>0</v>
      </c>
    </row>
    <row r="41" spans="2:17" s="12" customFormat="1" ht="15" customHeight="1">
      <c r="B41" s="308"/>
      <c r="C41" s="346" t="s">
        <v>271</v>
      </c>
      <c r="D41" s="347"/>
      <c r="E41" s="347"/>
      <c r="F41" s="347"/>
      <c r="G41" s="347"/>
      <c r="H41" s="347"/>
      <c r="I41" s="347"/>
      <c r="J41" s="347"/>
      <c r="K41" s="347"/>
      <c r="L41" s="347"/>
      <c r="M41" s="347"/>
      <c r="N41" s="347"/>
      <c r="O41" s="348"/>
      <c r="P41" s="226" t="s">
        <v>230</v>
      </c>
      <c r="Q41" s="49">
        <f>IF('GA-55'!AB2&lt;&gt;"No",IF('Other Deduction'!E3&lt;50001,'Other Deduction'!E3,50000),IF('Other Deduction'!E3&lt;10001,'Other Deduction'!E3,10000))</f>
        <v>0</v>
      </c>
    </row>
    <row r="42" spans="2:17" s="12" customFormat="1" ht="15" customHeight="1">
      <c r="B42" s="308"/>
      <c r="C42" s="346" t="s">
        <v>272</v>
      </c>
      <c r="D42" s="347"/>
      <c r="E42" s="347"/>
      <c r="F42" s="347"/>
      <c r="G42" s="347"/>
      <c r="H42" s="347"/>
      <c r="I42" s="347"/>
      <c r="J42" s="347"/>
      <c r="K42" s="347"/>
      <c r="L42" s="347"/>
      <c r="M42" s="347"/>
      <c r="N42" s="347"/>
      <c r="O42" s="348"/>
      <c r="P42" s="226" t="s">
        <v>230</v>
      </c>
      <c r="Q42" s="49">
        <f>'Other Deduction'!E14</f>
        <v>0</v>
      </c>
    </row>
    <row r="43" spans="2:17" s="12" customFormat="1" ht="15" customHeight="1">
      <c r="B43" s="308"/>
      <c r="C43" s="346" t="s">
        <v>273</v>
      </c>
      <c r="D43" s="347"/>
      <c r="E43" s="347"/>
      <c r="F43" s="347"/>
      <c r="G43" s="347"/>
      <c r="H43" s="347"/>
      <c r="I43" s="347"/>
      <c r="J43" s="347"/>
      <c r="K43" s="347"/>
      <c r="L43" s="347"/>
      <c r="M43" s="347"/>
      <c r="N43" s="347"/>
      <c r="O43" s="348"/>
      <c r="P43" s="226" t="s">
        <v>230</v>
      </c>
      <c r="Q43" s="49">
        <f>'Other Deduction'!E19</f>
        <v>0</v>
      </c>
    </row>
    <row r="44" spans="2:17" s="12" customFormat="1" ht="15" customHeight="1">
      <c r="B44" s="309"/>
      <c r="C44" s="342" t="s">
        <v>274</v>
      </c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226" t="s">
        <v>230</v>
      </c>
      <c r="Q44" s="54">
        <f>SUM(Q35:Q43)</f>
        <v>0</v>
      </c>
    </row>
    <row r="45" spans="2:17" s="12" customFormat="1" ht="15" customHeight="1">
      <c r="B45" s="47">
        <v>13</v>
      </c>
      <c r="C45" s="335" t="s">
        <v>275</v>
      </c>
      <c r="D45" s="335"/>
      <c r="E45" s="335"/>
      <c r="F45" s="335"/>
      <c r="G45" s="335"/>
      <c r="H45" s="335"/>
      <c r="I45" s="335"/>
      <c r="J45" s="335"/>
      <c r="K45" s="335"/>
      <c r="L45" s="335"/>
      <c r="M45" s="335"/>
      <c r="N45" s="335"/>
      <c r="O45" s="335"/>
      <c r="P45" s="226" t="s">
        <v>230</v>
      </c>
      <c r="Q45" s="49">
        <f>Q33+Q44</f>
        <v>149218</v>
      </c>
    </row>
    <row r="46" spans="2:17" s="12" customFormat="1" ht="15" customHeight="1">
      <c r="B46" s="47">
        <v>14</v>
      </c>
      <c r="C46" s="335" t="s">
        <v>276</v>
      </c>
      <c r="D46" s="335"/>
      <c r="E46" s="335"/>
      <c r="F46" s="335"/>
      <c r="G46" s="335"/>
      <c r="H46" s="335"/>
      <c r="I46" s="335"/>
      <c r="J46" s="335"/>
      <c r="K46" s="335"/>
      <c r="L46" s="335"/>
      <c r="M46" s="335"/>
      <c r="N46" s="335"/>
      <c r="O46" s="335"/>
      <c r="P46" s="226" t="s">
        <v>230</v>
      </c>
      <c r="Q46" s="49">
        <f>(Q18-Q45)</f>
        <v>572137</v>
      </c>
    </row>
    <row r="47" spans="2:17" s="12" customFormat="1">
      <c r="B47" s="47">
        <v>15</v>
      </c>
      <c r="C47" s="335" t="s">
        <v>277</v>
      </c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226" t="s">
        <v>230</v>
      </c>
      <c r="Q47" s="48">
        <f>ROUND(Q46,-1)</f>
        <v>572140</v>
      </c>
    </row>
    <row r="48" spans="2:17" s="12" customFormat="1" ht="15" customHeight="1">
      <c r="B48" s="307">
        <v>16</v>
      </c>
      <c r="C48" s="310" t="s">
        <v>278</v>
      </c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11"/>
    </row>
    <row r="49" spans="2:17" s="12" customFormat="1" ht="15" customHeight="1">
      <c r="B49" s="308"/>
      <c r="C49" s="312" t="s">
        <v>279</v>
      </c>
      <c r="D49" s="312"/>
      <c r="E49" s="312"/>
      <c r="F49" s="312"/>
      <c r="G49" s="312"/>
      <c r="H49" s="312" t="s">
        <v>280</v>
      </c>
      <c r="I49" s="312"/>
      <c r="J49" s="312"/>
      <c r="K49" s="312"/>
      <c r="L49" s="313" t="s">
        <v>281</v>
      </c>
      <c r="M49" s="314"/>
      <c r="N49" s="314"/>
      <c r="O49" s="315"/>
      <c r="P49" s="55"/>
      <c r="Q49" s="56"/>
    </row>
    <row r="50" spans="2:17" s="12" customFormat="1" ht="15" customHeight="1">
      <c r="B50" s="308"/>
      <c r="C50" s="316" t="s">
        <v>282</v>
      </c>
      <c r="D50" s="317"/>
      <c r="E50" s="318"/>
      <c r="F50" s="320" t="s">
        <v>37</v>
      </c>
      <c r="G50" s="320"/>
      <c r="H50" s="316" t="s">
        <v>283</v>
      </c>
      <c r="I50" s="317"/>
      <c r="J50" s="318"/>
      <c r="K50" s="225" t="s">
        <v>37</v>
      </c>
      <c r="L50" s="316" t="s">
        <v>283</v>
      </c>
      <c r="M50" s="317"/>
      <c r="N50" s="318"/>
      <c r="O50" s="244" t="s">
        <v>37</v>
      </c>
      <c r="P50" s="227" t="s">
        <v>230</v>
      </c>
      <c r="Q50" s="57">
        <v>0</v>
      </c>
    </row>
    <row r="51" spans="2:17" s="12" customFormat="1" ht="15" customHeight="1">
      <c r="B51" s="308"/>
      <c r="C51" s="316" t="s">
        <v>38</v>
      </c>
      <c r="D51" s="317"/>
      <c r="E51" s="318"/>
      <c r="F51" s="319">
        <v>0.05</v>
      </c>
      <c r="G51" s="320"/>
      <c r="H51" s="320" t="s">
        <v>54</v>
      </c>
      <c r="I51" s="320"/>
      <c r="J51" s="320"/>
      <c r="K51" s="224">
        <v>0.05</v>
      </c>
      <c r="L51" s="316" t="s">
        <v>284</v>
      </c>
      <c r="M51" s="317"/>
      <c r="N51" s="318"/>
      <c r="O51" s="256" t="s">
        <v>37</v>
      </c>
      <c r="P51" s="227" t="s">
        <v>230</v>
      </c>
      <c r="Q51" s="57">
        <f>ROUND(IF('GA-55'!AB2="No",IF(Q47&lt;250001,0,IF(Q47&gt;500000,12500,((Q47-250000)*0.05))),IF(Q47&lt;300001,0,IF(Q47&gt;500000,10000,((Q47-300000)*0.05)))),0)</f>
        <v>12500</v>
      </c>
    </row>
    <row r="52" spans="2:17" s="12" customFormat="1" ht="15" customHeight="1">
      <c r="B52" s="308"/>
      <c r="C52" s="316" t="s">
        <v>39</v>
      </c>
      <c r="D52" s="317"/>
      <c r="E52" s="318"/>
      <c r="F52" s="319">
        <v>0.2</v>
      </c>
      <c r="G52" s="320"/>
      <c r="H52" s="320" t="s">
        <v>39</v>
      </c>
      <c r="I52" s="320"/>
      <c r="J52" s="320"/>
      <c r="K52" s="224">
        <v>0.2</v>
      </c>
      <c r="L52" s="316" t="s">
        <v>39</v>
      </c>
      <c r="M52" s="317"/>
      <c r="N52" s="318"/>
      <c r="O52" s="224">
        <v>0.2</v>
      </c>
      <c r="P52" s="227" t="s">
        <v>230</v>
      </c>
      <c r="Q52" s="57">
        <f>IF(Q47&lt;500001,0,IF(Q47&gt;1000000,100000,((Q47-500000)*0.2)))</f>
        <v>14428</v>
      </c>
    </row>
    <row r="53" spans="2:17" s="12" customFormat="1" ht="15" customHeight="1">
      <c r="B53" s="308"/>
      <c r="C53" s="316" t="s">
        <v>285</v>
      </c>
      <c r="D53" s="317"/>
      <c r="E53" s="318"/>
      <c r="F53" s="319">
        <v>0.3</v>
      </c>
      <c r="G53" s="320"/>
      <c r="H53" s="320" t="s">
        <v>285</v>
      </c>
      <c r="I53" s="320"/>
      <c r="J53" s="320"/>
      <c r="K53" s="224">
        <v>0.3</v>
      </c>
      <c r="L53" s="316" t="s">
        <v>285</v>
      </c>
      <c r="M53" s="317"/>
      <c r="N53" s="318"/>
      <c r="O53" s="224">
        <v>0.3</v>
      </c>
      <c r="P53" s="227" t="s">
        <v>230</v>
      </c>
      <c r="Q53" s="57">
        <f>IF(Q47&lt;1000001,0,((Q47-1000000)*0.3))</f>
        <v>0</v>
      </c>
    </row>
    <row r="54" spans="2:17" s="12" customFormat="1" ht="15" customHeight="1">
      <c r="B54" s="308"/>
      <c r="C54" s="301" t="s">
        <v>286</v>
      </c>
      <c r="D54" s="302"/>
      <c r="E54" s="302"/>
      <c r="F54" s="302"/>
      <c r="G54" s="302"/>
      <c r="H54" s="302"/>
      <c r="I54" s="302"/>
      <c r="J54" s="302"/>
      <c r="K54" s="302"/>
      <c r="L54" s="302"/>
      <c r="M54" s="302"/>
      <c r="N54" s="302"/>
      <c r="O54" s="303"/>
      <c r="P54" s="227" t="s">
        <v>230</v>
      </c>
      <c r="Q54" s="48">
        <f>SUM(Q50:Q53)</f>
        <v>26928</v>
      </c>
    </row>
    <row r="55" spans="2:17" s="12" customFormat="1" ht="15" customHeight="1">
      <c r="B55" s="308"/>
      <c r="C55" s="321" t="s">
        <v>287</v>
      </c>
      <c r="D55" s="322"/>
      <c r="E55" s="322"/>
      <c r="F55" s="322"/>
      <c r="G55" s="322"/>
      <c r="H55" s="322"/>
      <c r="I55" s="322"/>
      <c r="J55" s="322"/>
      <c r="K55" s="322"/>
      <c r="L55" s="322"/>
      <c r="M55" s="322"/>
      <c r="N55" s="322"/>
      <c r="O55" s="323"/>
      <c r="P55" s="227" t="s">
        <v>230</v>
      </c>
      <c r="Q55" s="49">
        <f>IF(Q47&gt;500000,0,IF(Q54&lt;12501,Q54,12500))</f>
        <v>0</v>
      </c>
    </row>
    <row r="56" spans="2:17" s="12" customFormat="1" ht="15" customHeight="1">
      <c r="B56" s="308"/>
      <c r="C56" s="301" t="s">
        <v>288</v>
      </c>
      <c r="D56" s="302"/>
      <c r="E56" s="302"/>
      <c r="F56" s="302"/>
      <c r="G56" s="302"/>
      <c r="H56" s="302"/>
      <c r="I56" s="302"/>
      <c r="J56" s="302"/>
      <c r="K56" s="302"/>
      <c r="L56" s="302"/>
      <c r="M56" s="302"/>
      <c r="N56" s="302"/>
      <c r="O56" s="303"/>
      <c r="P56" s="227" t="s">
        <v>230</v>
      </c>
      <c r="Q56" s="48">
        <f>Q54-Q55</f>
        <v>26928</v>
      </c>
    </row>
    <row r="57" spans="2:17" s="12" customFormat="1" ht="15" customHeight="1">
      <c r="B57" s="308"/>
      <c r="C57" s="301" t="s">
        <v>289</v>
      </c>
      <c r="D57" s="302"/>
      <c r="E57" s="302"/>
      <c r="F57" s="302"/>
      <c r="G57" s="302"/>
      <c r="H57" s="302"/>
      <c r="I57" s="302"/>
      <c r="J57" s="302"/>
      <c r="K57" s="302"/>
      <c r="L57" s="302"/>
      <c r="M57" s="302"/>
      <c r="N57" s="302"/>
      <c r="O57" s="303"/>
      <c r="P57" s="227" t="s">
        <v>230</v>
      </c>
      <c r="Q57" s="49">
        <f>ROUND(Q56*0.04,0)</f>
        <v>1077</v>
      </c>
    </row>
    <row r="58" spans="2:17" s="12" customFormat="1" ht="15" customHeight="1">
      <c r="B58" s="309"/>
      <c r="C58" s="304" t="s">
        <v>290</v>
      </c>
      <c r="D58" s="305"/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6"/>
      <c r="P58" s="227" t="s">
        <v>230</v>
      </c>
      <c r="Q58" s="48">
        <f>SUM(Q56:Q57)</f>
        <v>28005</v>
      </c>
    </row>
    <row r="59" spans="2:17" s="12" customFormat="1" ht="15" customHeight="1">
      <c r="B59" s="47">
        <v>17</v>
      </c>
      <c r="C59" s="332" t="s">
        <v>291</v>
      </c>
      <c r="D59" s="333"/>
      <c r="E59" s="333"/>
      <c r="F59" s="333"/>
      <c r="G59" s="333"/>
      <c r="H59" s="333"/>
      <c r="I59" s="333"/>
      <c r="J59" s="333"/>
      <c r="K59" s="333"/>
      <c r="L59" s="333"/>
      <c r="M59" s="333"/>
      <c r="N59" s="333"/>
      <c r="O59" s="334"/>
      <c r="P59" s="227" t="s">
        <v>230</v>
      </c>
      <c r="Q59" s="49">
        <f>'Other Deduction'!E17</f>
        <v>0</v>
      </c>
    </row>
    <row r="60" spans="2:17" s="12" customFormat="1" ht="15" customHeight="1">
      <c r="B60" s="47">
        <v>18</v>
      </c>
      <c r="C60" s="335" t="s">
        <v>292</v>
      </c>
      <c r="D60" s="335"/>
      <c r="E60" s="335"/>
      <c r="F60" s="335"/>
      <c r="G60" s="335"/>
      <c r="H60" s="335"/>
      <c r="I60" s="335"/>
      <c r="J60" s="335"/>
      <c r="K60" s="335"/>
      <c r="L60" s="335"/>
      <c r="M60" s="335"/>
      <c r="N60" s="335"/>
      <c r="O60" s="335"/>
      <c r="P60" s="227" t="s">
        <v>230</v>
      </c>
      <c r="Q60" s="48">
        <f>Q58-Q59</f>
        <v>28005</v>
      </c>
    </row>
    <row r="61" spans="2:17" ht="33.75" customHeight="1">
      <c r="B61" s="307">
        <v>19</v>
      </c>
      <c r="C61" s="338" t="s">
        <v>293</v>
      </c>
      <c r="D61" s="338"/>
      <c r="E61" s="339"/>
      <c r="F61" s="336" t="s">
        <v>349</v>
      </c>
      <c r="G61" s="336"/>
      <c r="H61" s="336"/>
      <c r="I61" s="336"/>
      <c r="J61" s="325" t="s">
        <v>350</v>
      </c>
      <c r="K61" s="337"/>
      <c r="L61" s="243" t="s">
        <v>351</v>
      </c>
      <c r="M61" s="325" t="s">
        <v>352</v>
      </c>
      <c r="N61" s="337"/>
      <c r="O61" s="228" t="s">
        <v>294</v>
      </c>
      <c r="P61" s="325" t="s">
        <v>295</v>
      </c>
      <c r="Q61" s="326"/>
    </row>
    <row r="62" spans="2:17">
      <c r="B62" s="309"/>
      <c r="C62" s="340"/>
      <c r="D62" s="340"/>
      <c r="E62" s="341"/>
      <c r="F62" s="327">
        <f>SUM('GA-55'!X10:X16)</f>
        <v>0</v>
      </c>
      <c r="G62" s="327"/>
      <c r="H62" s="327"/>
      <c r="I62" s="327"/>
      <c r="J62" s="327">
        <f>SUM('GA-55'!X17:X19)</f>
        <v>0</v>
      </c>
      <c r="K62" s="327"/>
      <c r="L62" s="58">
        <f>'GA-55'!X20</f>
        <v>0</v>
      </c>
      <c r="M62" s="327">
        <f>'GA-55'!X21</f>
        <v>0</v>
      </c>
      <c r="N62" s="327"/>
      <c r="O62" s="59">
        <f>SUM('GA-55'!X22:X30)+'Other Deduction'!E18</f>
        <v>0</v>
      </c>
      <c r="P62" s="328">
        <f>F62+J62+L62+M62+O62</f>
        <v>0</v>
      </c>
      <c r="Q62" s="329"/>
    </row>
    <row r="63" spans="2:17" ht="16.5" thickBot="1">
      <c r="B63" s="330" t="str">
        <f>IF(Q60&gt;P62,"Income Tax Payable",IF(Q60&lt;P62,"Income Tax Refundable","Income Tax Payble/Refundable"))</f>
        <v>Income Tax Payable</v>
      </c>
      <c r="C63" s="331"/>
      <c r="D63" s="331"/>
      <c r="E63" s="331"/>
      <c r="F63" s="331"/>
      <c r="G63" s="331"/>
      <c r="H63" s="331"/>
      <c r="I63" s="331"/>
      <c r="J63" s="331"/>
      <c r="K63" s="331"/>
      <c r="L63" s="331"/>
      <c r="M63" s="331"/>
      <c r="N63" s="331"/>
      <c r="O63" s="331"/>
      <c r="P63" s="227" t="s">
        <v>230</v>
      </c>
      <c r="Q63" s="60">
        <f>IF(Q60&gt;P62,Q60-P62,P62-Q60)</f>
        <v>28005</v>
      </c>
    </row>
    <row r="64" spans="2:17"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5"/>
      <c r="Q64" s="16"/>
    </row>
    <row r="65" spans="1:18" ht="15.75" customHeight="1">
      <c r="B65" s="4"/>
      <c r="C65" s="5"/>
      <c r="D65" s="382" t="s">
        <v>296</v>
      </c>
      <c r="E65" s="382"/>
      <c r="F65" s="229"/>
      <c r="G65" s="5"/>
      <c r="H65" s="5"/>
      <c r="I65" s="5"/>
      <c r="J65" s="5"/>
      <c r="K65" s="5"/>
      <c r="L65" s="5"/>
      <c r="M65" s="383" t="s">
        <v>297</v>
      </c>
      <c r="N65" s="383"/>
      <c r="O65" s="383"/>
      <c r="P65" s="383"/>
      <c r="Q65" s="7"/>
    </row>
    <row r="66" spans="1:18">
      <c r="B66" s="4"/>
      <c r="C66" s="5"/>
      <c r="D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6"/>
      <c r="Q66" s="7"/>
    </row>
    <row r="67" spans="1:18" s="24" customFormat="1" ht="15.75" hidden="1" customHeight="1">
      <c r="B67" s="25"/>
      <c r="C67" s="324"/>
      <c r="D67" s="324"/>
      <c r="E67" s="324"/>
      <c r="F67" s="324"/>
      <c r="G67" s="324"/>
      <c r="H67" s="324"/>
      <c r="I67" s="324"/>
      <c r="J67" s="324"/>
      <c r="K67" s="324"/>
      <c r="L67" s="324"/>
      <c r="M67" s="324"/>
      <c r="N67" s="324"/>
      <c r="O67" s="324"/>
      <c r="P67" s="324"/>
      <c r="Q67" s="324"/>
    </row>
    <row r="68" spans="1:18" s="24" customFormat="1" ht="15.75" hidden="1" customHeight="1">
      <c r="B68" s="26"/>
      <c r="C68" s="324"/>
      <c r="D68" s="324"/>
      <c r="E68" s="324"/>
      <c r="F68" s="324"/>
      <c r="G68" s="324"/>
      <c r="H68" s="324"/>
      <c r="I68" s="324"/>
      <c r="J68" s="324"/>
      <c r="K68" s="324"/>
      <c r="L68" s="324"/>
      <c r="M68" s="324"/>
      <c r="N68" s="324"/>
      <c r="O68" s="324"/>
      <c r="P68" s="324"/>
      <c r="Q68" s="324"/>
    </row>
    <row r="69" spans="1:18" s="24" customFormat="1" ht="24" hidden="1" customHeight="1">
      <c r="B69" s="25"/>
      <c r="C69" s="324"/>
      <c r="D69" s="324"/>
      <c r="E69" s="324"/>
      <c r="F69" s="324"/>
      <c r="G69" s="324"/>
      <c r="H69" s="324"/>
      <c r="I69" s="324"/>
      <c r="J69" s="324"/>
      <c r="K69" s="324"/>
      <c r="L69" s="324"/>
      <c r="M69" s="324"/>
      <c r="N69" s="324"/>
      <c r="O69" s="324"/>
      <c r="P69" s="324"/>
      <c r="Q69" s="324"/>
    </row>
    <row r="70" spans="1:18" s="24" customFormat="1" ht="15.75" hidden="1" customHeight="1">
      <c r="B70" s="25"/>
      <c r="C70" s="27"/>
      <c r="D70" s="27"/>
      <c r="E70" s="27"/>
      <c r="F70" s="27"/>
      <c r="G70" s="27"/>
      <c r="H70" s="27"/>
      <c r="I70" s="27"/>
      <c r="J70" s="27"/>
      <c r="K70" s="27"/>
      <c r="L70" s="300"/>
      <c r="M70" s="300"/>
      <c r="N70" s="300"/>
      <c r="O70" s="300"/>
      <c r="P70" s="300"/>
      <c r="Q70" s="300"/>
    </row>
    <row r="71" spans="1:18" s="24" customFormat="1" ht="15.75" hidden="1" customHeight="1">
      <c r="B71" s="25"/>
      <c r="C71" s="27"/>
      <c r="D71" s="27"/>
      <c r="E71" s="27"/>
      <c r="F71" s="27"/>
      <c r="G71" s="27"/>
      <c r="H71" s="27"/>
      <c r="I71" s="27"/>
      <c r="J71" s="27"/>
      <c r="K71" s="27"/>
      <c r="L71" s="300"/>
      <c r="M71" s="300"/>
      <c r="N71" s="300"/>
      <c r="O71" s="300"/>
      <c r="P71" s="300"/>
      <c r="Q71" s="300"/>
    </row>
    <row r="72" spans="1:18" s="24" customFormat="1" ht="15.75" hidden="1" customHeight="1">
      <c r="B72" s="25"/>
      <c r="C72" s="27"/>
      <c r="D72" s="27"/>
      <c r="E72" s="27"/>
      <c r="F72" s="27"/>
      <c r="G72" s="27"/>
      <c r="H72" s="27"/>
      <c r="I72" s="27"/>
      <c r="J72" s="27"/>
      <c r="K72" s="27"/>
      <c r="L72" s="300"/>
      <c r="M72" s="300"/>
      <c r="N72" s="300"/>
      <c r="O72" s="300"/>
      <c r="P72" s="300"/>
      <c r="Q72" s="300"/>
    </row>
    <row r="73" spans="1:18" s="24" customFormat="1" ht="15.75" hidden="1" customHeight="1">
      <c r="B73" s="25"/>
      <c r="C73" s="27"/>
      <c r="D73" s="27"/>
      <c r="E73" s="27"/>
      <c r="F73" s="27"/>
      <c r="G73" s="27"/>
      <c r="H73" s="27"/>
      <c r="I73" s="27"/>
      <c r="J73" s="27"/>
      <c r="K73" s="27"/>
      <c r="L73" s="300"/>
      <c r="M73" s="300"/>
      <c r="N73" s="300"/>
      <c r="O73" s="300"/>
      <c r="P73" s="300"/>
      <c r="Q73" s="300"/>
    </row>
    <row r="74" spans="1:18" s="24" customFormat="1" ht="15.75" hidden="1" customHeight="1">
      <c r="B74" s="25"/>
      <c r="C74" s="27"/>
      <c r="D74" s="27"/>
      <c r="E74" s="27"/>
      <c r="F74" s="27"/>
      <c r="G74" s="27"/>
      <c r="H74" s="27"/>
      <c r="I74" s="27"/>
      <c r="J74" s="27"/>
      <c r="K74" s="27"/>
      <c r="L74" s="300"/>
      <c r="M74" s="300"/>
      <c r="N74" s="300"/>
      <c r="O74" s="300"/>
      <c r="P74" s="300"/>
      <c r="Q74" s="300"/>
    </row>
    <row r="75" spans="1:18" s="24" customFormat="1" hidden="1">
      <c r="B75" s="26"/>
      <c r="C75" s="28"/>
      <c r="D75" s="369"/>
      <c r="E75" s="369"/>
      <c r="F75" s="369"/>
      <c r="G75" s="369"/>
      <c r="H75" s="369"/>
      <c r="I75" s="369"/>
      <c r="J75" s="369"/>
      <c r="K75" s="28"/>
      <c r="L75" s="300"/>
      <c r="M75" s="300"/>
      <c r="N75" s="300"/>
      <c r="O75" s="300"/>
      <c r="P75" s="300"/>
      <c r="Q75" s="300"/>
    </row>
    <row r="76" spans="1:18" s="24" customFormat="1" hidden="1">
      <c r="B76" s="26"/>
      <c r="C76" s="28"/>
      <c r="D76" s="28"/>
      <c r="E76" s="28"/>
      <c r="F76" s="28"/>
      <c r="G76" s="28"/>
      <c r="H76" s="28"/>
      <c r="I76" s="28"/>
      <c r="J76" s="28"/>
      <c r="K76" s="28"/>
      <c r="L76" s="300"/>
      <c r="M76" s="300"/>
      <c r="N76" s="300"/>
      <c r="O76" s="300"/>
      <c r="P76" s="300"/>
      <c r="Q76" s="300"/>
    </row>
    <row r="77" spans="1:18" hidden="1">
      <c r="A77" s="19"/>
      <c r="B77" s="20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2"/>
      <c r="Q77" s="23"/>
      <c r="R77" s="19"/>
    </row>
    <row r="78" spans="1:18" hidden="1">
      <c r="A78" s="19"/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2"/>
      <c r="Q78" s="23"/>
      <c r="R78" s="19"/>
    </row>
    <row r="79" spans="1:18" hidden="1">
      <c r="A79" s="19"/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2"/>
      <c r="Q79" s="23"/>
      <c r="R79" s="19"/>
    </row>
    <row r="80" spans="1:18" hidden="1"/>
    <row r="81" hidden="1"/>
    <row r="82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S86"/>
  <sheetViews>
    <sheetView showGridLines="0" workbookViewId="0">
      <selection activeCell="M12" sqref="M12:O12"/>
    </sheetView>
  </sheetViews>
  <sheetFormatPr defaultColWidth="0" defaultRowHeight="15.6" customHeight="1" zeroHeight="1"/>
  <cols>
    <col min="1" max="1" width="3" customWidth="1" collapsed="1"/>
    <col min="2" max="2" width="4.42578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5.140625" style="8" customWidth="1" collapsed="1"/>
    <col min="8" max="8" width="3.2851562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85546875" style="8" customWidth="1" collapsed="1"/>
    <col min="15" max="15" width="11.85546875" style="8" customWidth="1" collapsed="1"/>
    <col min="16" max="16" width="3.5703125" style="10" customWidth="1" collapsed="1"/>
    <col min="17" max="17" width="24.28515625" style="11" customWidth="1" collapsed="1"/>
    <col min="18" max="18" width="2.42578125" customWidth="1" collapsed="1"/>
    <col min="19" max="19" width="11.42578125" hidden="1" customWidth="1" collapsed="1"/>
    <col min="20" max="16384" width="9.140625" hidden="1" collapsed="1"/>
  </cols>
  <sheetData>
    <row r="1" spans="2:17" s="12" customFormat="1" ht="18.75">
      <c r="B1" s="400" t="str">
        <f>'GA-55'!C4</f>
        <v>GOVT SR. SEC SCHOOL DILOD GORDHANPURA, ATRU BARAN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</row>
    <row r="2" spans="2:17" s="12" customFormat="1" ht="16.5" thickBot="1">
      <c r="B2" s="351" t="s">
        <v>347</v>
      </c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</row>
    <row r="3" spans="2:17" s="12" customFormat="1" ht="15" customHeight="1">
      <c r="B3" s="45">
        <v>1</v>
      </c>
      <c r="C3" s="352" t="s">
        <v>299</v>
      </c>
      <c r="D3" s="353"/>
      <c r="E3" s="363" t="str">
        <f>'GA-55'!D6</f>
        <v>PARMANAND MEGHWAL</v>
      </c>
      <c r="F3" s="363"/>
      <c r="G3" s="363"/>
      <c r="H3" s="363"/>
      <c r="I3" s="363"/>
      <c r="J3" s="363"/>
      <c r="K3" s="230" t="s">
        <v>298</v>
      </c>
      <c r="L3" s="364" t="str">
        <f>'GA-55'!K6</f>
        <v>SR TEACHER</v>
      </c>
      <c r="M3" s="364"/>
      <c r="N3" s="364"/>
      <c r="O3" s="46" t="s">
        <v>19</v>
      </c>
      <c r="P3" s="354" t="str">
        <f>IF('GA-55'!P6="","",'GA-55'!P6)</f>
        <v>ASQPM6311G</v>
      </c>
      <c r="Q3" s="355"/>
    </row>
    <row r="4" spans="2:17" s="12" customFormat="1" ht="15" customHeight="1">
      <c r="B4" s="47">
        <v>2</v>
      </c>
      <c r="C4" s="356" t="s">
        <v>348</v>
      </c>
      <c r="D4" s="356"/>
      <c r="E4" s="310"/>
      <c r="F4" s="310"/>
      <c r="G4" s="310"/>
      <c r="H4" s="310"/>
      <c r="I4" s="310"/>
      <c r="J4" s="310"/>
      <c r="K4" s="356"/>
      <c r="L4" s="310"/>
      <c r="M4" s="310"/>
      <c r="N4" s="310"/>
      <c r="O4" s="356"/>
      <c r="P4" s="259" t="s">
        <v>230</v>
      </c>
      <c r="Q4" s="48">
        <f>'GA-55'!N31</f>
        <v>771355</v>
      </c>
    </row>
    <row r="5" spans="2:17" s="12" customFormat="1" ht="15" customHeight="1">
      <c r="B5" s="47">
        <v>3</v>
      </c>
      <c r="C5" s="310" t="s">
        <v>228</v>
      </c>
      <c r="D5" s="357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  <c r="P5" s="259" t="s">
        <v>230</v>
      </c>
      <c r="Q5" s="49">
        <v>0</v>
      </c>
    </row>
    <row r="6" spans="2:17" s="12" customFormat="1" ht="15" customHeight="1">
      <c r="B6" s="47"/>
      <c r="C6" s="332" t="s">
        <v>229</v>
      </c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4"/>
      <c r="P6" s="259" t="s">
        <v>230</v>
      </c>
      <c r="Q6" s="49">
        <v>0</v>
      </c>
    </row>
    <row r="7" spans="2:17" s="12" customFormat="1" ht="15" customHeight="1">
      <c r="B7" s="47">
        <v>4</v>
      </c>
      <c r="C7" s="399" t="s">
        <v>364</v>
      </c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399"/>
      <c r="O7" s="399"/>
      <c r="P7" s="259" t="s">
        <v>230</v>
      </c>
      <c r="Q7" s="49">
        <f>Q4-Q5-Q6</f>
        <v>771355</v>
      </c>
    </row>
    <row r="8" spans="2:17" s="12" customFormat="1" ht="15" customHeight="1">
      <c r="B8" s="307">
        <v>5</v>
      </c>
      <c r="C8" s="361" t="s">
        <v>231</v>
      </c>
      <c r="D8" s="343"/>
      <c r="E8" s="343"/>
      <c r="F8" s="343"/>
      <c r="G8" s="343"/>
      <c r="H8" s="343"/>
      <c r="I8" s="343"/>
      <c r="J8" s="343"/>
      <c r="K8" s="343"/>
      <c r="L8" s="343"/>
      <c r="M8" s="362">
        <f>'Other Deduction'!B4</f>
        <v>0</v>
      </c>
      <c r="N8" s="362"/>
      <c r="O8" s="362"/>
      <c r="P8" s="365"/>
      <c r="Q8" s="366"/>
    </row>
    <row r="9" spans="2:17" s="12" customFormat="1" ht="15" customHeight="1">
      <c r="B9" s="308"/>
      <c r="C9" s="332" t="s">
        <v>232</v>
      </c>
      <c r="D9" s="343"/>
      <c r="E9" s="343"/>
      <c r="F9" s="343"/>
      <c r="G9" s="343"/>
      <c r="H9" s="343"/>
      <c r="I9" s="343"/>
      <c r="J9" s="343"/>
      <c r="K9" s="343"/>
      <c r="L9" s="343"/>
      <c r="M9" s="362">
        <f>'Other Deduction'!B5</f>
        <v>0</v>
      </c>
      <c r="N9" s="362"/>
      <c r="O9" s="362"/>
      <c r="P9" s="367"/>
      <c r="Q9" s="368"/>
    </row>
    <row r="10" spans="2:17" s="12" customFormat="1" ht="15" customHeight="1">
      <c r="B10" s="309"/>
      <c r="C10" s="332" t="s">
        <v>233</v>
      </c>
      <c r="D10" s="343"/>
      <c r="E10" s="343"/>
      <c r="F10" s="343"/>
      <c r="G10" s="343"/>
      <c r="H10" s="343"/>
      <c r="I10" s="343"/>
      <c r="J10" s="343"/>
      <c r="K10" s="343"/>
      <c r="L10" s="343"/>
      <c r="M10" s="362">
        <v>50000</v>
      </c>
      <c r="N10" s="362"/>
      <c r="O10" s="362"/>
      <c r="P10" s="259" t="s">
        <v>230</v>
      </c>
      <c r="Q10" s="49">
        <f>SUM(M8:O10)</f>
        <v>50000</v>
      </c>
    </row>
    <row r="11" spans="2:17" s="12" customFormat="1" ht="15" customHeight="1">
      <c r="B11" s="47">
        <v>6</v>
      </c>
      <c r="C11" s="401" t="s">
        <v>363</v>
      </c>
      <c r="D11" s="402"/>
      <c r="E11" s="402"/>
      <c r="F11" s="402"/>
      <c r="G11" s="402"/>
      <c r="H11" s="402"/>
      <c r="I11" s="402"/>
      <c r="J11" s="402"/>
      <c r="K11" s="402"/>
      <c r="L11" s="402"/>
      <c r="M11" s="402"/>
      <c r="N11" s="402"/>
      <c r="O11" s="403"/>
      <c r="P11" s="259" t="s">
        <v>230</v>
      </c>
      <c r="Q11" s="49">
        <f>Q7-Q10</f>
        <v>721355</v>
      </c>
    </row>
    <row r="12" spans="2:17" s="12" customFormat="1" ht="15" customHeight="1">
      <c r="B12" s="384">
        <v>7</v>
      </c>
      <c r="C12" s="310" t="s">
        <v>236</v>
      </c>
      <c r="D12" s="357"/>
      <c r="E12" s="357"/>
      <c r="F12" s="357"/>
      <c r="G12" s="357"/>
      <c r="H12" s="357"/>
      <c r="I12" s="357"/>
      <c r="J12" s="357"/>
      <c r="K12" s="320" t="s">
        <v>237</v>
      </c>
      <c r="L12" s="320"/>
      <c r="M12" s="362">
        <f>'Other Deduction'!B6</f>
        <v>0</v>
      </c>
      <c r="N12" s="362"/>
      <c r="O12" s="362"/>
      <c r="P12" s="370"/>
      <c r="Q12" s="371"/>
    </row>
    <row r="13" spans="2:17" s="12" customFormat="1" ht="15" customHeight="1">
      <c r="B13" s="384"/>
      <c r="C13" s="388" t="s">
        <v>238</v>
      </c>
      <c r="D13" s="389"/>
      <c r="E13" s="316" t="s">
        <v>239</v>
      </c>
      <c r="F13" s="317"/>
      <c r="G13" s="318"/>
      <c r="H13" s="372" t="s">
        <v>240</v>
      </c>
      <c r="I13" s="372"/>
      <c r="J13" s="372"/>
      <c r="K13" s="370" t="s">
        <v>241</v>
      </c>
      <c r="L13" s="370"/>
      <c r="M13" s="320" t="s">
        <v>242</v>
      </c>
      <c r="N13" s="320"/>
      <c r="O13" s="320"/>
      <c r="P13" s="370"/>
      <c r="Q13" s="371"/>
    </row>
    <row r="14" spans="2:17" s="12" customFormat="1" ht="15" customHeight="1">
      <c r="B14" s="384"/>
      <c r="C14" s="390"/>
      <c r="D14" s="391"/>
      <c r="E14" s="385">
        <f>ROUND(M12*0.3,0)</f>
        <v>0</v>
      </c>
      <c r="F14" s="386"/>
      <c r="G14" s="387"/>
      <c r="H14" s="362">
        <v>0</v>
      </c>
      <c r="I14" s="362"/>
      <c r="J14" s="362"/>
      <c r="K14" s="362">
        <f>'Other Deduction'!B7</f>
        <v>0</v>
      </c>
      <c r="L14" s="362"/>
      <c r="M14" s="362">
        <f>E14+H14+K14</f>
        <v>0</v>
      </c>
      <c r="N14" s="362"/>
      <c r="O14" s="362"/>
      <c r="P14" s="370"/>
      <c r="Q14" s="371"/>
    </row>
    <row r="15" spans="2:17" s="12" customFormat="1" ht="15" customHeight="1">
      <c r="B15" s="47"/>
      <c r="C15" s="358" t="s">
        <v>244</v>
      </c>
      <c r="D15" s="359"/>
      <c r="E15" s="359"/>
      <c r="F15" s="359"/>
      <c r="G15" s="359"/>
      <c r="H15" s="359"/>
      <c r="I15" s="359"/>
      <c r="J15" s="359"/>
      <c r="K15" s="359"/>
      <c r="L15" s="359"/>
      <c r="M15" s="359"/>
      <c r="N15" s="359"/>
      <c r="O15" s="360"/>
      <c r="P15" s="259" t="s">
        <v>230</v>
      </c>
      <c r="Q15" s="49">
        <f>M12-M14</f>
        <v>0</v>
      </c>
    </row>
    <row r="16" spans="2:17" s="12" customFormat="1" ht="15" customHeight="1">
      <c r="B16" s="47">
        <v>8</v>
      </c>
      <c r="C16" s="358" t="s">
        <v>243</v>
      </c>
      <c r="D16" s="359"/>
      <c r="E16" s="359"/>
      <c r="F16" s="359"/>
      <c r="G16" s="359"/>
      <c r="H16" s="359"/>
      <c r="I16" s="359"/>
      <c r="J16" s="359"/>
      <c r="K16" s="359"/>
      <c r="L16" s="359"/>
      <c r="M16" s="359"/>
      <c r="N16" s="359"/>
      <c r="O16" s="360"/>
      <c r="P16" s="259" t="s">
        <v>230</v>
      </c>
      <c r="Q16" s="49">
        <f>Q11+Q15</f>
        <v>721355</v>
      </c>
    </row>
    <row r="17" spans="2:17" s="12" customFormat="1" ht="15" customHeight="1">
      <c r="B17" s="47">
        <v>9</v>
      </c>
      <c r="C17" s="357" t="s">
        <v>245</v>
      </c>
      <c r="D17" s="357"/>
      <c r="E17" s="357"/>
      <c r="F17" s="357"/>
      <c r="G17" s="357"/>
      <c r="H17" s="357"/>
      <c r="I17" s="357"/>
      <c r="J17" s="357"/>
      <c r="K17" s="357"/>
      <c r="L17" s="357"/>
      <c r="M17" s="357"/>
      <c r="N17" s="357"/>
      <c r="O17" s="357"/>
      <c r="P17" s="259" t="s">
        <v>230</v>
      </c>
      <c r="Q17" s="49">
        <f>'Other Deduction'!E3+'Other Deduction'!E4</f>
        <v>0</v>
      </c>
    </row>
    <row r="18" spans="2:17" s="12" customFormat="1" ht="15" customHeight="1">
      <c r="B18" s="47">
        <v>10</v>
      </c>
      <c r="C18" s="373" t="s">
        <v>246</v>
      </c>
      <c r="D18" s="374"/>
      <c r="E18" s="374"/>
      <c r="F18" s="374"/>
      <c r="G18" s="374"/>
      <c r="H18" s="374"/>
      <c r="I18" s="374"/>
      <c r="J18" s="374"/>
      <c r="K18" s="374"/>
      <c r="L18" s="374"/>
      <c r="M18" s="374"/>
      <c r="N18" s="374"/>
      <c r="O18" s="375"/>
      <c r="P18" s="259" t="s">
        <v>230</v>
      </c>
      <c r="Q18" s="48">
        <f>Q16+Q17</f>
        <v>721355</v>
      </c>
    </row>
    <row r="19" spans="2:17" s="12" customFormat="1" ht="15" customHeight="1">
      <c r="B19" s="307">
        <v>11</v>
      </c>
      <c r="C19" s="335" t="s">
        <v>341</v>
      </c>
      <c r="D19" s="335"/>
      <c r="E19" s="335"/>
      <c r="F19" s="335"/>
      <c r="G19" s="335"/>
      <c r="H19" s="335"/>
      <c r="I19" s="335"/>
      <c r="J19" s="335"/>
      <c r="K19" s="335"/>
      <c r="L19" s="335"/>
      <c r="M19" s="335"/>
      <c r="N19" s="335"/>
      <c r="O19" s="335"/>
      <c r="P19" s="335"/>
      <c r="Q19" s="345"/>
    </row>
    <row r="20" spans="2:17" s="12" customFormat="1" ht="15" customHeight="1">
      <c r="B20" s="308"/>
      <c r="C20" s="376" t="s">
        <v>247</v>
      </c>
      <c r="D20" s="404"/>
      <c r="E20" s="404"/>
      <c r="F20" s="404"/>
      <c r="G20" s="404"/>
      <c r="H20" s="404"/>
      <c r="I20" s="404"/>
      <c r="J20" s="404"/>
      <c r="K20" s="404"/>
      <c r="L20" s="404"/>
      <c r="M20" s="404"/>
      <c r="N20" s="404"/>
      <c r="O20" s="404"/>
      <c r="P20" s="404"/>
      <c r="Q20" s="405"/>
    </row>
    <row r="21" spans="2:17" s="12" customFormat="1" ht="15" customHeight="1">
      <c r="B21" s="308"/>
      <c r="C21" s="50" t="s">
        <v>20</v>
      </c>
      <c r="D21" s="310" t="s">
        <v>248</v>
      </c>
      <c r="E21" s="310"/>
      <c r="F21" s="310"/>
      <c r="G21" s="310"/>
      <c r="H21" s="259" t="s">
        <v>230</v>
      </c>
      <c r="I21" s="51">
        <f>'GA-55'!Q31</f>
        <v>36000</v>
      </c>
      <c r="J21" s="50" t="s">
        <v>21</v>
      </c>
      <c r="K21" s="297" t="s">
        <v>257</v>
      </c>
      <c r="L21" s="298"/>
      <c r="M21" s="299"/>
      <c r="N21" s="259" t="s">
        <v>230</v>
      </c>
      <c r="O21" s="51">
        <f>'Other Deduction'!E6</f>
        <v>0</v>
      </c>
      <c r="P21" s="365"/>
      <c r="Q21" s="366"/>
    </row>
    <row r="22" spans="2:17" s="12" customFormat="1" ht="15" customHeight="1">
      <c r="B22" s="308"/>
      <c r="C22" s="50" t="s">
        <v>22</v>
      </c>
      <c r="D22" s="310" t="s">
        <v>249</v>
      </c>
      <c r="E22" s="310"/>
      <c r="F22" s="310"/>
      <c r="G22" s="310"/>
      <c r="H22" s="259" t="s">
        <v>230</v>
      </c>
      <c r="I22" s="51">
        <f>'GA-55'!T31+'Other Deduction'!B10</f>
        <v>66240</v>
      </c>
      <c r="J22" s="50" t="s">
        <v>23</v>
      </c>
      <c r="K22" s="297" t="s">
        <v>258</v>
      </c>
      <c r="L22" s="298"/>
      <c r="M22" s="299"/>
      <c r="N22" s="259" t="s">
        <v>230</v>
      </c>
      <c r="O22" s="52">
        <f>'Other Deduction'!B15</f>
        <v>0</v>
      </c>
      <c r="P22" s="392"/>
      <c r="Q22" s="393"/>
    </row>
    <row r="23" spans="2:17" s="12" customFormat="1" ht="15" customHeight="1">
      <c r="B23" s="308"/>
      <c r="C23" s="50" t="s">
        <v>24</v>
      </c>
      <c r="D23" s="310" t="s">
        <v>250</v>
      </c>
      <c r="E23" s="310"/>
      <c r="F23" s="310"/>
      <c r="G23" s="310"/>
      <c r="H23" s="259" t="s">
        <v>230</v>
      </c>
      <c r="I23" s="51">
        <f>'Other Deduction'!B14</f>
        <v>0</v>
      </c>
      <c r="J23" s="50" t="s">
        <v>25</v>
      </c>
      <c r="K23" s="297" t="s">
        <v>259</v>
      </c>
      <c r="L23" s="298"/>
      <c r="M23" s="299"/>
      <c r="N23" s="259" t="s">
        <v>230</v>
      </c>
      <c r="O23" s="52">
        <f>'Other Deduction'!B12</f>
        <v>0</v>
      </c>
      <c r="P23" s="392"/>
      <c r="Q23" s="393"/>
    </row>
    <row r="24" spans="2:17" s="12" customFormat="1" ht="15" customHeight="1">
      <c r="B24" s="308"/>
      <c r="C24" s="50" t="s">
        <v>26</v>
      </c>
      <c r="D24" s="310" t="s">
        <v>251</v>
      </c>
      <c r="E24" s="310"/>
      <c r="F24" s="310"/>
      <c r="G24" s="310"/>
      <c r="H24" s="259" t="s">
        <v>230</v>
      </c>
      <c r="I24" s="51">
        <f>'Other Deduction'!B16</f>
        <v>0</v>
      </c>
      <c r="J24" s="50" t="s">
        <v>27</v>
      </c>
      <c r="K24" s="297" t="s">
        <v>334</v>
      </c>
      <c r="L24" s="298"/>
      <c r="M24" s="299"/>
      <c r="N24" s="259" t="s">
        <v>230</v>
      </c>
      <c r="O24" s="51">
        <f>'Other Deduction'!E15</f>
        <v>0</v>
      </c>
      <c r="P24" s="392"/>
      <c r="Q24" s="393"/>
    </row>
    <row r="25" spans="2:17" s="12" customFormat="1" ht="15" customHeight="1">
      <c r="B25" s="308"/>
      <c r="C25" s="50" t="s">
        <v>28</v>
      </c>
      <c r="D25" s="310" t="s">
        <v>252</v>
      </c>
      <c r="E25" s="310"/>
      <c r="F25" s="310"/>
      <c r="G25" s="310"/>
      <c r="H25" s="259" t="s">
        <v>230</v>
      </c>
      <c r="I25" s="51">
        <f>'Other Deduction'!B17</f>
        <v>0</v>
      </c>
      <c r="J25" s="50" t="s">
        <v>31</v>
      </c>
      <c r="K25" s="297" t="s">
        <v>317</v>
      </c>
      <c r="L25" s="298"/>
      <c r="M25" s="299"/>
      <c r="N25" s="259" t="s">
        <v>230</v>
      </c>
      <c r="O25" s="51">
        <f>'Other Deduction'!E16</f>
        <v>0</v>
      </c>
      <c r="P25" s="392"/>
      <c r="Q25" s="393"/>
    </row>
    <row r="26" spans="2:17" s="12" customFormat="1" ht="30.75" customHeight="1">
      <c r="B26" s="308"/>
      <c r="C26" s="50" t="s">
        <v>30</v>
      </c>
      <c r="D26" s="394" t="s">
        <v>253</v>
      </c>
      <c r="E26" s="395"/>
      <c r="F26" s="395"/>
      <c r="G26" s="396"/>
      <c r="H26" s="259" t="s">
        <v>230</v>
      </c>
      <c r="I26" s="51">
        <f>'GA-55'!O31</f>
        <v>46978</v>
      </c>
      <c r="J26" s="50" t="s">
        <v>29</v>
      </c>
      <c r="K26" s="297" t="s">
        <v>318</v>
      </c>
      <c r="L26" s="397"/>
      <c r="M26" s="398"/>
      <c r="N26" s="259" t="s">
        <v>230</v>
      </c>
      <c r="O26" s="51">
        <f>'Other Deduction'!B11</f>
        <v>0</v>
      </c>
      <c r="P26" s="392"/>
      <c r="Q26" s="393"/>
    </row>
    <row r="27" spans="2:17" s="12" customFormat="1" ht="15" customHeight="1">
      <c r="B27" s="308"/>
      <c r="C27" s="50" t="s">
        <v>32</v>
      </c>
      <c r="D27" s="332" t="s">
        <v>254</v>
      </c>
      <c r="E27" s="333"/>
      <c r="F27" s="333"/>
      <c r="G27" s="334"/>
      <c r="H27" s="259" t="s">
        <v>230</v>
      </c>
      <c r="I27" s="52">
        <f>'GA-55'!U11</f>
        <v>0</v>
      </c>
      <c r="J27" s="50" t="s">
        <v>33</v>
      </c>
      <c r="K27" s="297" t="s">
        <v>319</v>
      </c>
      <c r="L27" s="298"/>
      <c r="M27" s="299"/>
      <c r="N27" s="259" t="s">
        <v>230</v>
      </c>
      <c r="O27" s="51">
        <f>'Other Deduction'!E5</f>
        <v>0</v>
      </c>
      <c r="P27" s="392"/>
      <c r="Q27" s="393"/>
    </row>
    <row r="28" spans="2:17" s="12" customFormat="1" ht="15" customHeight="1">
      <c r="B28" s="308"/>
      <c r="C28" s="50" t="s">
        <v>34</v>
      </c>
      <c r="D28" s="310" t="s">
        <v>255</v>
      </c>
      <c r="E28" s="310"/>
      <c r="F28" s="310"/>
      <c r="G28" s="310"/>
      <c r="H28" s="259" t="s">
        <v>230</v>
      </c>
      <c r="I28" s="52">
        <f>'Other Deduction'!B13</f>
        <v>0</v>
      </c>
      <c r="J28" s="50" t="s">
        <v>35</v>
      </c>
      <c r="K28" s="297" t="s">
        <v>320</v>
      </c>
      <c r="L28" s="298"/>
      <c r="M28" s="299"/>
      <c r="N28" s="259" t="s">
        <v>230</v>
      </c>
      <c r="O28" s="51">
        <f>'Other Deduction'!B18</f>
        <v>0</v>
      </c>
      <c r="P28" s="392"/>
      <c r="Q28" s="393"/>
    </row>
    <row r="29" spans="2:17" s="12" customFormat="1" ht="15" customHeight="1">
      <c r="B29" s="308"/>
      <c r="C29" s="50" t="s">
        <v>36</v>
      </c>
      <c r="D29" s="310" t="s">
        <v>256</v>
      </c>
      <c r="E29" s="310"/>
      <c r="F29" s="310"/>
      <c r="G29" s="310"/>
      <c r="H29" s="259" t="s">
        <v>230</v>
      </c>
      <c r="I29" s="51">
        <f>'GA-55'!V31+'Other Deduction'!B8</f>
        <v>0</v>
      </c>
      <c r="J29" s="50" t="s">
        <v>65</v>
      </c>
      <c r="K29" s="381"/>
      <c r="L29" s="381"/>
      <c r="M29" s="381"/>
      <c r="N29" s="259" t="s">
        <v>230</v>
      </c>
      <c r="O29" s="51"/>
      <c r="P29" s="392"/>
      <c r="Q29" s="393"/>
    </row>
    <row r="30" spans="2:17" s="12" customFormat="1" ht="15" customHeight="1">
      <c r="B30" s="308"/>
      <c r="C30" s="378" t="s">
        <v>260</v>
      </c>
      <c r="D30" s="379"/>
      <c r="E30" s="379"/>
      <c r="F30" s="379"/>
      <c r="G30" s="379"/>
      <c r="H30" s="379"/>
      <c r="I30" s="379"/>
      <c r="J30" s="379"/>
      <c r="K30" s="379"/>
      <c r="L30" s="379"/>
      <c r="M30" s="380"/>
      <c r="N30" s="259" t="s">
        <v>230</v>
      </c>
      <c r="O30" s="53">
        <f>SUM(I21:I29)+SUM(O21:O29)</f>
        <v>149218</v>
      </c>
      <c r="P30" s="367"/>
      <c r="Q30" s="368"/>
    </row>
    <row r="31" spans="2:17" s="12" customFormat="1" ht="15" customHeight="1">
      <c r="B31" s="308"/>
      <c r="C31" s="342" t="s">
        <v>262</v>
      </c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259" t="s">
        <v>230</v>
      </c>
      <c r="Q31" s="48">
        <v>0</v>
      </c>
    </row>
    <row r="32" spans="2:17" s="12" customFormat="1" ht="15" customHeight="1">
      <c r="B32" s="308"/>
      <c r="C32" s="332" t="s">
        <v>263</v>
      </c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4"/>
      <c r="P32" s="259" t="s">
        <v>230</v>
      </c>
      <c r="Q32" s="48">
        <f>'Other Deduction'!E7</f>
        <v>0</v>
      </c>
    </row>
    <row r="33" spans="2:17" s="12" customFormat="1" ht="15" customHeight="1">
      <c r="B33" s="309"/>
      <c r="C33" s="342" t="s">
        <v>342</v>
      </c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259" t="s">
        <v>230</v>
      </c>
      <c r="Q33" s="48">
        <f>SUM(Q31:Q31)</f>
        <v>0</v>
      </c>
    </row>
    <row r="34" spans="2:17" s="12" customFormat="1" ht="15" customHeight="1">
      <c r="B34" s="307">
        <v>12</v>
      </c>
      <c r="C34" s="335" t="s">
        <v>264</v>
      </c>
      <c r="D34" s="335"/>
      <c r="E34" s="335"/>
      <c r="F34" s="335"/>
      <c r="G34" s="335"/>
      <c r="H34" s="335"/>
      <c r="I34" s="335"/>
      <c r="J34" s="335"/>
      <c r="K34" s="335"/>
      <c r="L34" s="335"/>
      <c r="M34" s="335"/>
      <c r="N34" s="335"/>
      <c r="O34" s="335"/>
      <c r="P34" s="335"/>
      <c r="Q34" s="345"/>
    </row>
    <row r="35" spans="2:17" s="12" customFormat="1" ht="15" customHeight="1">
      <c r="B35" s="308"/>
      <c r="C35" s="346" t="s">
        <v>265</v>
      </c>
      <c r="D35" s="347"/>
      <c r="E35" s="347"/>
      <c r="F35" s="347"/>
      <c r="G35" s="347"/>
      <c r="H35" s="347"/>
      <c r="I35" s="347"/>
      <c r="J35" s="347"/>
      <c r="K35" s="347"/>
      <c r="L35" s="347"/>
      <c r="M35" s="347"/>
      <c r="N35" s="347"/>
      <c r="O35" s="348"/>
      <c r="P35" s="259" t="s">
        <v>230</v>
      </c>
      <c r="Q35" s="49">
        <v>0</v>
      </c>
    </row>
    <row r="36" spans="2:17" s="12" customFormat="1" ht="15" customHeight="1">
      <c r="B36" s="308"/>
      <c r="C36" s="349" t="s">
        <v>267</v>
      </c>
      <c r="D36" s="349"/>
      <c r="E36" s="349"/>
      <c r="F36" s="349"/>
      <c r="G36" s="349"/>
      <c r="H36" s="349"/>
      <c r="I36" s="349"/>
      <c r="J36" s="349"/>
      <c r="K36" s="349"/>
      <c r="L36" s="349"/>
      <c r="M36" s="349"/>
      <c r="N36" s="349"/>
      <c r="O36" s="349"/>
      <c r="P36" s="259" t="s">
        <v>230</v>
      </c>
      <c r="Q36" s="49">
        <v>0</v>
      </c>
    </row>
    <row r="37" spans="2:17" s="12" customFormat="1" ht="15" customHeight="1">
      <c r="B37" s="308"/>
      <c r="C37" s="349" t="s">
        <v>266</v>
      </c>
      <c r="D37" s="349"/>
      <c r="E37" s="349"/>
      <c r="F37" s="349"/>
      <c r="G37" s="349"/>
      <c r="H37" s="349"/>
      <c r="I37" s="349"/>
      <c r="J37" s="349"/>
      <c r="K37" s="349"/>
      <c r="L37" s="349"/>
      <c r="M37" s="349"/>
      <c r="N37" s="349"/>
      <c r="O37" s="349"/>
      <c r="P37" s="259" t="s">
        <v>230</v>
      </c>
      <c r="Q37" s="49">
        <v>0</v>
      </c>
    </row>
    <row r="38" spans="2:17" s="12" customFormat="1" ht="15" customHeight="1">
      <c r="B38" s="308"/>
      <c r="C38" s="310" t="s">
        <v>268</v>
      </c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259" t="s">
        <v>230</v>
      </c>
      <c r="Q38" s="49">
        <v>0</v>
      </c>
    </row>
    <row r="39" spans="2:17" s="12" customFormat="1" ht="15" customHeight="1">
      <c r="B39" s="308"/>
      <c r="C39" s="349" t="s">
        <v>269</v>
      </c>
      <c r="D39" s="349"/>
      <c r="E39" s="349"/>
      <c r="F39" s="349"/>
      <c r="G39" s="349"/>
      <c r="H39" s="349"/>
      <c r="I39" s="349"/>
      <c r="J39" s="349"/>
      <c r="K39" s="349"/>
      <c r="L39" s="349"/>
      <c r="M39" s="349"/>
      <c r="N39" s="349"/>
      <c r="O39" s="349"/>
      <c r="P39" s="259" t="s">
        <v>230</v>
      </c>
      <c r="Q39" s="49">
        <v>0</v>
      </c>
    </row>
    <row r="40" spans="2:17" s="12" customFormat="1" ht="15" customHeight="1">
      <c r="B40" s="308"/>
      <c r="C40" s="346" t="s">
        <v>270</v>
      </c>
      <c r="D40" s="347"/>
      <c r="E40" s="347"/>
      <c r="F40" s="347"/>
      <c r="G40" s="347"/>
      <c r="H40" s="347"/>
      <c r="I40" s="347"/>
      <c r="J40" s="347"/>
      <c r="K40" s="347"/>
      <c r="L40" s="347"/>
      <c r="M40" s="347"/>
      <c r="N40" s="347"/>
      <c r="O40" s="348"/>
      <c r="P40" s="259" t="s">
        <v>230</v>
      </c>
      <c r="Q40" s="49">
        <v>0</v>
      </c>
    </row>
    <row r="41" spans="2:17" s="12" customFormat="1" ht="15" customHeight="1">
      <c r="B41" s="308"/>
      <c r="C41" s="346" t="s">
        <v>271</v>
      </c>
      <c r="D41" s="347"/>
      <c r="E41" s="347"/>
      <c r="F41" s="347"/>
      <c r="G41" s="347"/>
      <c r="H41" s="347"/>
      <c r="I41" s="347"/>
      <c r="J41" s="347"/>
      <c r="K41" s="347"/>
      <c r="L41" s="347"/>
      <c r="M41" s="347"/>
      <c r="N41" s="347"/>
      <c r="O41" s="348"/>
      <c r="P41" s="259" t="s">
        <v>230</v>
      </c>
      <c r="Q41" s="49">
        <v>0</v>
      </c>
    </row>
    <row r="42" spans="2:17" s="12" customFormat="1" ht="15" customHeight="1">
      <c r="B42" s="308"/>
      <c r="C42" s="346" t="s">
        <v>272</v>
      </c>
      <c r="D42" s="347"/>
      <c r="E42" s="347"/>
      <c r="F42" s="347"/>
      <c r="G42" s="347"/>
      <c r="H42" s="347"/>
      <c r="I42" s="347"/>
      <c r="J42" s="347"/>
      <c r="K42" s="347"/>
      <c r="L42" s="347"/>
      <c r="M42" s="347"/>
      <c r="N42" s="347"/>
      <c r="O42" s="348"/>
      <c r="P42" s="259" t="s">
        <v>230</v>
      </c>
      <c r="Q42" s="49">
        <v>0</v>
      </c>
    </row>
    <row r="43" spans="2:17" s="12" customFormat="1" ht="15" customHeight="1">
      <c r="B43" s="308"/>
      <c r="C43" s="346" t="s">
        <v>273</v>
      </c>
      <c r="D43" s="347"/>
      <c r="E43" s="347"/>
      <c r="F43" s="347"/>
      <c r="G43" s="347"/>
      <c r="H43" s="347"/>
      <c r="I43" s="347"/>
      <c r="J43" s="347"/>
      <c r="K43" s="347"/>
      <c r="L43" s="347"/>
      <c r="M43" s="347"/>
      <c r="N43" s="347"/>
      <c r="O43" s="348"/>
      <c r="P43" s="259" t="s">
        <v>230</v>
      </c>
      <c r="Q43" s="49">
        <v>0</v>
      </c>
    </row>
    <row r="44" spans="2:17" s="12" customFormat="1" ht="15" customHeight="1">
      <c r="B44" s="309"/>
      <c r="C44" s="342" t="s">
        <v>274</v>
      </c>
      <c r="D44" s="411"/>
      <c r="E44" s="411"/>
      <c r="F44" s="411"/>
      <c r="G44" s="411"/>
      <c r="H44" s="411"/>
      <c r="I44" s="411"/>
      <c r="J44" s="411"/>
      <c r="K44" s="411"/>
      <c r="L44" s="411"/>
      <c r="M44" s="411"/>
      <c r="N44" s="411"/>
      <c r="O44" s="411"/>
      <c r="P44" s="259" t="s">
        <v>230</v>
      </c>
      <c r="Q44" s="54">
        <v>0</v>
      </c>
    </row>
    <row r="45" spans="2:17" s="12" customFormat="1" ht="15" customHeight="1">
      <c r="B45" s="47">
        <v>13</v>
      </c>
      <c r="C45" s="335" t="s">
        <v>275</v>
      </c>
      <c r="D45" s="335"/>
      <c r="E45" s="335"/>
      <c r="F45" s="335"/>
      <c r="G45" s="335"/>
      <c r="H45" s="335"/>
      <c r="I45" s="335"/>
      <c r="J45" s="335"/>
      <c r="K45" s="335"/>
      <c r="L45" s="335"/>
      <c r="M45" s="335"/>
      <c r="N45" s="335"/>
      <c r="O45" s="335"/>
      <c r="P45" s="259" t="s">
        <v>230</v>
      </c>
      <c r="Q45" s="49">
        <f>Q33+Q44</f>
        <v>0</v>
      </c>
    </row>
    <row r="46" spans="2:17" s="12" customFormat="1" ht="15" customHeight="1">
      <c r="B46" s="47">
        <v>14</v>
      </c>
      <c r="C46" s="335" t="s">
        <v>276</v>
      </c>
      <c r="D46" s="335"/>
      <c r="E46" s="335"/>
      <c r="F46" s="335"/>
      <c r="G46" s="335"/>
      <c r="H46" s="335"/>
      <c r="I46" s="335"/>
      <c r="J46" s="335"/>
      <c r="K46" s="335"/>
      <c r="L46" s="335"/>
      <c r="M46" s="335"/>
      <c r="N46" s="335"/>
      <c r="O46" s="335"/>
      <c r="P46" s="259" t="s">
        <v>230</v>
      </c>
      <c r="Q46" s="49">
        <f>(Q18-Q45)</f>
        <v>721355</v>
      </c>
    </row>
    <row r="47" spans="2:17" s="12" customFormat="1" ht="15.75">
      <c r="B47" s="47">
        <v>15</v>
      </c>
      <c r="C47" s="335" t="s">
        <v>277</v>
      </c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259" t="s">
        <v>230</v>
      </c>
      <c r="Q47" s="48">
        <f>ROUND(Q46,-1)</f>
        <v>721360</v>
      </c>
    </row>
    <row r="48" spans="2:17" s="12" customFormat="1" ht="15" customHeight="1">
      <c r="B48" s="307">
        <v>16</v>
      </c>
      <c r="C48" s="310" t="s">
        <v>278</v>
      </c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11"/>
    </row>
    <row r="49" spans="2:19" s="12" customFormat="1" ht="15" customHeight="1">
      <c r="B49" s="308"/>
      <c r="C49" s="312" t="s">
        <v>279</v>
      </c>
      <c r="D49" s="312"/>
      <c r="E49" s="312"/>
      <c r="F49" s="312"/>
      <c r="G49" s="312"/>
      <c r="H49" s="312" t="s">
        <v>280</v>
      </c>
      <c r="I49" s="312"/>
      <c r="J49" s="312"/>
      <c r="K49" s="312"/>
      <c r="L49" s="313" t="s">
        <v>281</v>
      </c>
      <c r="M49" s="314"/>
      <c r="N49" s="314"/>
      <c r="O49" s="315"/>
      <c r="P49" s="55"/>
      <c r="Q49" s="56"/>
    </row>
    <row r="50" spans="2:19" s="12" customFormat="1" ht="15" customHeight="1">
      <c r="B50" s="308"/>
      <c r="C50" s="316" t="s">
        <v>283</v>
      </c>
      <c r="D50" s="317"/>
      <c r="E50" s="318"/>
      <c r="F50" s="406" t="s">
        <v>37</v>
      </c>
      <c r="G50" s="406"/>
      <c r="H50" s="316" t="s">
        <v>283</v>
      </c>
      <c r="I50" s="317"/>
      <c r="J50" s="318"/>
      <c r="K50" s="257" t="s">
        <v>37</v>
      </c>
      <c r="L50" s="316" t="s">
        <v>283</v>
      </c>
      <c r="M50" s="317"/>
      <c r="N50" s="318"/>
      <c r="O50" s="257" t="s">
        <v>37</v>
      </c>
      <c r="P50" s="259" t="s">
        <v>230</v>
      </c>
      <c r="Q50" s="57">
        <v>0</v>
      </c>
    </row>
    <row r="51" spans="2:19" s="12" customFormat="1" ht="15" customHeight="1">
      <c r="B51" s="308"/>
      <c r="C51" s="407" t="s">
        <v>353</v>
      </c>
      <c r="D51" s="408"/>
      <c r="E51" s="409"/>
      <c r="F51" s="410">
        <v>0.05</v>
      </c>
      <c r="G51" s="406"/>
      <c r="H51" s="407" t="s">
        <v>353</v>
      </c>
      <c r="I51" s="408"/>
      <c r="J51" s="409"/>
      <c r="K51" s="258">
        <v>0.05</v>
      </c>
      <c r="L51" s="316" t="s">
        <v>354</v>
      </c>
      <c r="M51" s="317"/>
      <c r="N51" s="318"/>
      <c r="O51" s="258">
        <v>0.05</v>
      </c>
      <c r="P51" s="259" t="s">
        <v>230</v>
      </c>
      <c r="Q51" s="57">
        <f>ROUND(IF(Q47&lt;300001,0,IF(Q47&gt;600000,15000,((Q47-300000)*0.05))),0)</f>
        <v>15000</v>
      </c>
    </row>
    <row r="52" spans="2:19" s="12" customFormat="1" ht="15" customHeight="1">
      <c r="B52" s="308"/>
      <c r="C52" s="407" t="s">
        <v>355</v>
      </c>
      <c r="D52" s="408"/>
      <c r="E52" s="409"/>
      <c r="F52" s="410">
        <v>0.1</v>
      </c>
      <c r="G52" s="406"/>
      <c r="H52" s="407" t="s">
        <v>355</v>
      </c>
      <c r="I52" s="408"/>
      <c r="J52" s="409"/>
      <c r="K52" s="258">
        <v>0.1</v>
      </c>
      <c r="L52" s="407" t="s">
        <v>355</v>
      </c>
      <c r="M52" s="408"/>
      <c r="N52" s="409"/>
      <c r="O52" s="258">
        <v>0.1</v>
      </c>
      <c r="P52" s="259" t="s">
        <v>230</v>
      </c>
      <c r="Q52" s="57">
        <f>IF(Q47&lt;600001,0,IF(Q47&gt;900000,30000,((Q47-600000)*0.1)))</f>
        <v>12136</v>
      </c>
    </row>
    <row r="53" spans="2:19" s="12" customFormat="1" ht="15" customHeight="1">
      <c r="B53" s="308"/>
      <c r="C53" s="407" t="s">
        <v>356</v>
      </c>
      <c r="D53" s="408"/>
      <c r="E53" s="409"/>
      <c r="F53" s="410">
        <v>0.15</v>
      </c>
      <c r="G53" s="406"/>
      <c r="H53" s="407" t="s">
        <v>356</v>
      </c>
      <c r="I53" s="408"/>
      <c r="J53" s="409"/>
      <c r="K53" s="258">
        <v>0.15</v>
      </c>
      <c r="L53" s="407" t="s">
        <v>356</v>
      </c>
      <c r="M53" s="408"/>
      <c r="N53" s="409"/>
      <c r="O53" s="258">
        <v>0.15</v>
      </c>
      <c r="P53" s="259" t="s">
        <v>230</v>
      </c>
      <c r="Q53" s="57">
        <f>IF(Q47&lt;900001,0,IF(Q47&gt;1200000,45000,((Q47-900000)*0.15)))</f>
        <v>0</v>
      </c>
    </row>
    <row r="54" spans="2:19" s="12" customFormat="1" ht="15" customHeight="1">
      <c r="B54" s="308"/>
      <c r="C54" s="407" t="s">
        <v>357</v>
      </c>
      <c r="D54" s="408"/>
      <c r="E54" s="409"/>
      <c r="F54" s="410">
        <v>0.2</v>
      </c>
      <c r="G54" s="406"/>
      <c r="H54" s="407" t="s">
        <v>357</v>
      </c>
      <c r="I54" s="408"/>
      <c r="J54" s="409"/>
      <c r="K54" s="258">
        <v>0.2</v>
      </c>
      <c r="L54" s="407" t="s">
        <v>357</v>
      </c>
      <c r="M54" s="408"/>
      <c r="N54" s="409"/>
      <c r="O54" s="258">
        <v>0.2</v>
      </c>
      <c r="P54" s="259" t="s">
        <v>230</v>
      </c>
      <c r="Q54" s="57">
        <f>IF(Q47&lt;1200001,0,IF(Q47&gt;1500000,60000,((Q47-1200000)*0.2)))</f>
        <v>0</v>
      </c>
    </row>
    <row r="55" spans="2:19" s="12" customFormat="1" ht="15" customHeight="1">
      <c r="B55" s="308"/>
      <c r="C55" s="407" t="s">
        <v>300</v>
      </c>
      <c r="D55" s="408"/>
      <c r="E55" s="409"/>
      <c r="F55" s="410">
        <v>0.3</v>
      </c>
      <c r="G55" s="406"/>
      <c r="H55" s="407" t="s">
        <v>300</v>
      </c>
      <c r="I55" s="408"/>
      <c r="J55" s="409"/>
      <c r="K55" s="258">
        <v>0.3</v>
      </c>
      <c r="L55" s="407" t="s">
        <v>300</v>
      </c>
      <c r="M55" s="408"/>
      <c r="N55" s="409"/>
      <c r="O55" s="258">
        <v>0.3</v>
      </c>
      <c r="P55" s="259" t="s">
        <v>230</v>
      </c>
      <c r="Q55" s="57">
        <f>IF(Q47&lt;1500001,0,((Q47-1500000)*0.3))</f>
        <v>0</v>
      </c>
    </row>
    <row r="56" spans="2:19" s="12" customFormat="1" ht="15" customHeight="1">
      <c r="B56" s="308"/>
      <c r="C56" s="301" t="s">
        <v>286</v>
      </c>
      <c r="D56" s="302"/>
      <c r="E56" s="302"/>
      <c r="F56" s="302"/>
      <c r="G56" s="302"/>
      <c r="H56" s="302"/>
      <c r="I56" s="302"/>
      <c r="J56" s="302"/>
      <c r="K56" s="302"/>
      <c r="L56" s="302"/>
      <c r="M56" s="302"/>
      <c r="N56" s="302"/>
      <c r="O56" s="303"/>
      <c r="P56" s="259" t="s">
        <v>230</v>
      </c>
      <c r="Q56" s="48">
        <f>SUM(Q50:Q55)</f>
        <v>27136</v>
      </c>
    </row>
    <row r="57" spans="2:19" s="12" customFormat="1" ht="15" customHeight="1">
      <c r="B57" s="308"/>
      <c r="C57" s="321" t="s">
        <v>365</v>
      </c>
      <c r="D57" s="322"/>
      <c r="E57" s="322"/>
      <c r="F57" s="322"/>
      <c r="G57" s="322"/>
      <c r="H57" s="322"/>
      <c r="I57" s="322"/>
      <c r="J57" s="322"/>
      <c r="K57" s="322"/>
      <c r="L57" s="322"/>
      <c r="M57" s="322"/>
      <c r="N57" s="322"/>
      <c r="O57" s="323"/>
      <c r="P57" s="259" t="s">
        <v>230</v>
      </c>
      <c r="Q57" s="49">
        <f>IF(Q47&lt;700001,Q56,0)</f>
        <v>0</v>
      </c>
      <c r="S57" s="13"/>
    </row>
    <row r="58" spans="2:19" s="12" customFormat="1" ht="15" customHeight="1">
      <c r="B58" s="308"/>
      <c r="C58" s="321" t="s">
        <v>369</v>
      </c>
      <c r="D58" s="322"/>
      <c r="E58" s="322"/>
      <c r="F58" s="322"/>
      <c r="G58" s="322"/>
      <c r="H58" s="322"/>
      <c r="I58" s="322"/>
      <c r="J58" s="322"/>
      <c r="K58" s="322"/>
      <c r="L58" s="322"/>
      <c r="M58" s="322"/>
      <c r="N58" s="322"/>
      <c r="O58" s="323"/>
      <c r="P58" s="259" t="s">
        <v>230</v>
      </c>
      <c r="Q58" s="49">
        <f>IF(Q47&lt;700001,0,IF(Q47&gt;727770,0,Q56-(Q47-700000)))</f>
        <v>5776</v>
      </c>
      <c r="S58" s="16"/>
    </row>
    <row r="59" spans="2:19" s="12" customFormat="1" ht="15" customHeight="1">
      <c r="B59" s="308"/>
      <c r="C59" s="301" t="s">
        <v>367</v>
      </c>
      <c r="D59" s="302"/>
      <c r="E59" s="302"/>
      <c r="F59" s="302"/>
      <c r="G59" s="302"/>
      <c r="H59" s="302"/>
      <c r="I59" s="302"/>
      <c r="J59" s="302"/>
      <c r="K59" s="302"/>
      <c r="L59" s="302"/>
      <c r="M59" s="302"/>
      <c r="N59" s="302"/>
      <c r="O59" s="303"/>
      <c r="P59" s="259" t="s">
        <v>230</v>
      </c>
      <c r="Q59" s="48">
        <f>Q56-Q57-Q58</f>
        <v>21360</v>
      </c>
    </row>
    <row r="60" spans="2:19" s="12" customFormat="1" ht="15" customHeight="1">
      <c r="B60" s="308"/>
      <c r="C60" s="321" t="s">
        <v>368</v>
      </c>
      <c r="D60" s="322"/>
      <c r="E60" s="322"/>
      <c r="F60" s="322"/>
      <c r="G60" s="322"/>
      <c r="H60" s="322"/>
      <c r="I60" s="322"/>
      <c r="J60" s="322"/>
      <c r="K60" s="322"/>
      <c r="L60" s="322"/>
      <c r="M60" s="322"/>
      <c r="N60" s="322"/>
      <c r="O60" s="323"/>
      <c r="P60" s="259" t="s">
        <v>230</v>
      </c>
      <c r="Q60" s="49">
        <f>ROUND(Q59*0.04,0)</f>
        <v>854</v>
      </c>
    </row>
    <row r="61" spans="2:19" s="12" customFormat="1" ht="15" customHeight="1">
      <c r="B61" s="309"/>
      <c r="C61" s="304" t="s">
        <v>290</v>
      </c>
      <c r="D61" s="305"/>
      <c r="E61" s="305"/>
      <c r="F61" s="305"/>
      <c r="G61" s="305"/>
      <c r="H61" s="305"/>
      <c r="I61" s="305"/>
      <c r="J61" s="305"/>
      <c r="K61" s="305"/>
      <c r="L61" s="305"/>
      <c r="M61" s="305"/>
      <c r="N61" s="305"/>
      <c r="O61" s="306"/>
      <c r="P61" s="259" t="s">
        <v>230</v>
      </c>
      <c r="Q61" s="48">
        <f>SUM(Q59:Q60)</f>
        <v>22214</v>
      </c>
    </row>
    <row r="62" spans="2:19" s="12" customFormat="1" ht="15" customHeight="1">
      <c r="B62" s="47">
        <v>17</v>
      </c>
      <c r="C62" s="332" t="s">
        <v>291</v>
      </c>
      <c r="D62" s="333"/>
      <c r="E62" s="333"/>
      <c r="F62" s="333"/>
      <c r="G62" s="333"/>
      <c r="H62" s="333"/>
      <c r="I62" s="333"/>
      <c r="J62" s="333"/>
      <c r="K62" s="333"/>
      <c r="L62" s="333"/>
      <c r="M62" s="333"/>
      <c r="N62" s="333"/>
      <c r="O62" s="334"/>
      <c r="P62" s="259" t="s">
        <v>230</v>
      </c>
      <c r="Q62" s="49">
        <f>'Other Deduction'!E17</f>
        <v>0</v>
      </c>
    </row>
    <row r="63" spans="2:19" s="12" customFormat="1" ht="15" customHeight="1">
      <c r="B63" s="47">
        <v>18</v>
      </c>
      <c r="C63" s="335" t="s">
        <v>292</v>
      </c>
      <c r="D63" s="335"/>
      <c r="E63" s="335"/>
      <c r="F63" s="335"/>
      <c r="G63" s="335"/>
      <c r="H63" s="335"/>
      <c r="I63" s="335"/>
      <c r="J63" s="335"/>
      <c r="K63" s="335"/>
      <c r="L63" s="335"/>
      <c r="M63" s="335"/>
      <c r="N63" s="335"/>
      <c r="O63" s="335"/>
      <c r="P63" s="259" t="s">
        <v>230</v>
      </c>
      <c r="Q63" s="48">
        <f>Q61-Q62</f>
        <v>22214</v>
      </c>
    </row>
    <row r="64" spans="2:19" ht="33.75" customHeight="1">
      <c r="B64" s="307">
        <v>19</v>
      </c>
      <c r="C64" s="338" t="s">
        <v>293</v>
      </c>
      <c r="D64" s="338"/>
      <c r="E64" s="339"/>
      <c r="F64" s="336" t="s">
        <v>349</v>
      </c>
      <c r="G64" s="336"/>
      <c r="H64" s="336"/>
      <c r="I64" s="336"/>
      <c r="J64" s="325" t="s">
        <v>350</v>
      </c>
      <c r="K64" s="337"/>
      <c r="L64" s="260" t="s">
        <v>351</v>
      </c>
      <c r="M64" s="325" t="s">
        <v>352</v>
      </c>
      <c r="N64" s="337"/>
      <c r="O64" s="260" t="s">
        <v>294</v>
      </c>
      <c r="P64" s="325" t="s">
        <v>295</v>
      </c>
      <c r="Q64" s="326"/>
    </row>
    <row r="65" spans="1:18" ht="15.75">
      <c r="B65" s="309"/>
      <c r="C65" s="340"/>
      <c r="D65" s="340"/>
      <c r="E65" s="341"/>
      <c r="F65" s="327">
        <f>SUM('GA-55'!X10:X16)</f>
        <v>0</v>
      </c>
      <c r="G65" s="327"/>
      <c r="H65" s="327"/>
      <c r="I65" s="327"/>
      <c r="J65" s="327">
        <f>SUM('GA-55'!X17:X19)</f>
        <v>0</v>
      </c>
      <c r="K65" s="327"/>
      <c r="L65" s="58">
        <f>'GA-55'!X20</f>
        <v>0</v>
      </c>
      <c r="M65" s="327">
        <f>'GA-55'!X21</f>
        <v>0</v>
      </c>
      <c r="N65" s="327"/>
      <c r="O65" s="59">
        <f>SUM('GA-55'!X22:X30)+'Other Deduction'!E18</f>
        <v>0</v>
      </c>
      <c r="P65" s="328">
        <f>F65+J65+L65+M65+O65</f>
        <v>0</v>
      </c>
      <c r="Q65" s="329"/>
    </row>
    <row r="66" spans="1:18" ht="16.5" thickBot="1">
      <c r="B66" s="330" t="str">
        <f>IF(Q63&gt;P65,"Income Tax Payable",IF(Q63&lt;P65,"Income Tax Refundable","Income Tax Payble/Refundable"))</f>
        <v>Income Tax Payable</v>
      </c>
      <c r="C66" s="331"/>
      <c r="D66" s="331"/>
      <c r="E66" s="331"/>
      <c r="F66" s="331"/>
      <c r="G66" s="331"/>
      <c r="H66" s="331"/>
      <c r="I66" s="331"/>
      <c r="J66" s="331"/>
      <c r="K66" s="331"/>
      <c r="L66" s="331"/>
      <c r="M66" s="331"/>
      <c r="N66" s="331"/>
      <c r="O66" s="331"/>
      <c r="P66" s="259" t="s">
        <v>230</v>
      </c>
      <c r="Q66" s="60">
        <f>IF(Q63&gt;P65,Q63-P65,P65-Q63)</f>
        <v>22214</v>
      </c>
    </row>
    <row r="67" spans="1:18" ht="15.75"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5"/>
      <c r="Q67" s="16"/>
    </row>
    <row r="68" spans="1:18" ht="15.75" customHeight="1">
      <c r="B68" s="4"/>
      <c r="C68" s="5"/>
      <c r="D68" s="412" t="s">
        <v>296</v>
      </c>
      <c r="E68" s="412"/>
      <c r="F68" s="412"/>
      <c r="G68" s="5"/>
      <c r="H68" s="5"/>
      <c r="I68" s="5"/>
      <c r="J68" s="5"/>
      <c r="K68" s="5"/>
      <c r="L68" s="5"/>
      <c r="M68" s="5"/>
      <c r="N68" s="5"/>
      <c r="O68" s="231" t="s">
        <v>297</v>
      </c>
      <c r="P68" s="6"/>
      <c r="Q68" s="7"/>
    </row>
    <row r="69" spans="1:18" ht="15.75">
      <c r="B69" s="4"/>
      <c r="C69" s="5"/>
      <c r="D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6"/>
      <c r="Q69" s="7"/>
    </row>
    <row r="70" spans="1:18" s="24" customFormat="1" ht="15.75" hidden="1" customHeight="1">
      <c r="B70" s="25"/>
      <c r="C70" s="324"/>
      <c r="D70" s="324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4"/>
      <c r="Q70" s="324"/>
    </row>
    <row r="71" spans="1:18" s="24" customFormat="1" ht="15.75" hidden="1" customHeight="1">
      <c r="B71" s="26"/>
      <c r="C71" s="324"/>
      <c r="D71" s="324"/>
      <c r="E71" s="324"/>
      <c r="F71" s="324"/>
      <c r="G71" s="324"/>
      <c r="H71" s="324"/>
      <c r="I71" s="324"/>
      <c r="J71" s="324"/>
      <c r="K71" s="324"/>
      <c r="L71" s="324"/>
      <c r="M71" s="324"/>
      <c r="N71" s="324"/>
      <c r="O71" s="324"/>
      <c r="P71" s="324"/>
      <c r="Q71" s="324"/>
    </row>
    <row r="72" spans="1:18" s="24" customFormat="1" ht="24" hidden="1" customHeight="1">
      <c r="B72" s="25"/>
      <c r="C72" s="324"/>
      <c r="D72" s="324"/>
      <c r="E72" s="324"/>
      <c r="F72" s="324"/>
      <c r="G72" s="324"/>
      <c r="H72" s="324"/>
      <c r="I72" s="324"/>
      <c r="J72" s="324"/>
      <c r="K72" s="324"/>
      <c r="L72" s="324"/>
      <c r="M72" s="324"/>
      <c r="N72" s="324"/>
      <c r="O72" s="324"/>
      <c r="P72" s="324"/>
      <c r="Q72" s="324"/>
    </row>
    <row r="73" spans="1:18" s="24" customFormat="1" ht="15.75" hidden="1" customHeight="1">
      <c r="B73" s="25"/>
      <c r="C73" s="27"/>
      <c r="D73" s="27"/>
      <c r="E73" s="27"/>
      <c r="F73" s="27"/>
      <c r="G73" s="27"/>
      <c r="H73" s="27"/>
      <c r="I73" s="27"/>
      <c r="J73" s="27"/>
      <c r="K73" s="27"/>
      <c r="L73" s="300"/>
      <c r="M73" s="300"/>
      <c r="N73" s="300"/>
      <c r="O73" s="300"/>
      <c r="P73" s="300"/>
      <c r="Q73" s="300"/>
    </row>
    <row r="74" spans="1:18" s="24" customFormat="1" ht="15.75" hidden="1" customHeight="1">
      <c r="B74" s="25"/>
      <c r="C74" s="27"/>
      <c r="D74" s="27"/>
      <c r="E74" s="27"/>
      <c r="F74" s="27"/>
      <c r="G74" s="27"/>
      <c r="H74" s="27"/>
      <c r="I74" s="27"/>
      <c r="J74" s="27"/>
      <c r="K74" s="27"/>
      <c r="L74" s="300"/>
      <c r="M74" s="300"/>
      <c r="N74" s="300"/>
      <c r="O74" s="300"/>
      <c r="P74" s="300"/>
      <c r="Q74" s="300"/>
    </row>
    <row r="75" spans="1:18" s="24" customFormat="1" ht="15.75" hidden="1" customHeight="1">
      <c r="B75" s="25"/>
      <c r="C75" s="27"/>
      <c r="D75" s="27"/>
      <c r="E75" s="27"/>
      <c r="F75" s="27"/>
      <c r="G75" s="27"/>
      <c r="H75" s="27"/>
      <c r="I75" s="27"/>
      <c r="J75" s="27"/>
      <c r="K75" s="27"/>
      <c r="L75" s="300"/>
      <c r="M75" s="300"/>
      <c r="N75" s="300"/>
      <c r="O75" s="300"/>
      <c r="P75" s="300"/>
      <c r="Q75" s="300"/>
    </row>
    <row r="76" spans="1:18" s="24" customFormat="1" ht="15.75" hidden="1" customHeight="1">
      <c r="B76" s="25"/>
      <c r="C76" s="27"/>
      <c r="D76" s="27"/>
      <c r="E76" s="27"/>
      <c r="F76" s="27"/>
      <c r="G76" s="27"/>
      <c r="H76" s="27"/>
      <c r="I76" s="27"/>
      <c r="J76" s="27"/>
      <c r="K76" s="27"/>
      <c r="L76" s="300"/>
      <c r="M76" s="300"/>
      <c r="N76" s="300"/>
      <c r="O76" s="300"/>
      <c r="P76" s="300"/>
      <c r="Q76" s="300"/>
    </row>
    <row r="77" spans="1:18" s="24" customFormat="1" ht="15.75" hidden="1" customHeight="1">
      <c r="B77" s="25"/>
      <c r="C77" s="27"/>
      <c r="D77" s="27"/>
      <c r="E77" s="27"/>
      <c r="F77" s="27"/>
      <c r="G77" s="27"/>
      <c r="H77" s="27"/>
      <c r="I77" s="27"/>
      <c r="J77" s="27"/>
      <c r="K77" s="27"/>
      <c r="L77" s="300"/>
      <c r="M77" s="300"/>
      <c r="N77" s="300"/>
      <c r="O77" s="300"/>
      <c r="P77" s="300"/>
      <c r="Q77" s="300"/>
    </row>
    <row r="78" spans="1:18" s="24" customFormat="1" ht="15.75" hidden="1">
      <c r="B78" s="26"/>
      <c r="C78" s="28"/>
      <c r="D78" s="369"/>
      <c r="E78" s="369"/>
      <c r="F78" s="369"/>
      <c r="G78" s="369"/>
      <c r="H78" s="369"/>
      <c r="I78" s="369"/>
      <c r="J78" s="369"/>
      <c r="K78" s="28"/>
      <c r="L78" s="300"/>
      <c r="M78" s="300"/>
      <c r="N78" s="300"/>
      <c r="O78" s="300"/>
      <c r="P78" s="300"/>
      <c r="Q78" s="300"/>
    </row>
    <row r="79" spans="1:18" s="24" customFormat="1" ht="15.75" hidden="1">
      <c r="B79" s="26"/>
      <c r="C79" s="28"/>
      <c r="D79" s="28"/>
      <c r="E79" s="28"/>
      <c r="F79" s="28"/>
      <c r="G79" s="28"/>
      <c r="H79" s="28"/>
      <c r="I79" s="28"/>
      <c r="J79" s="28"/>
      <c r="K79" s="28"/>
      <c r="L79" s="300"/>
      <c r="M79" s="300"/>
      <c r="N79" s="300"/>
      <c r="O79" s="300"/>
      <c r="P79" s="300"/>
      <c r="Q79" s="300"/>
    </row>
    <row r="80" spans="1:18" ht="15.75" hidden="1">
      <c r="A80" s="19"/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2"/>
      <c r="Q80" s="23"/>
      <c r="R80" s="19"/>
    </row>
    <row r="81" spans="1:18" ht="15.75" hidden="1">
      <c r="A81" s="19"/>
      <c r="B81" s="20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2"/>
      <c r="Q81" s="23"/>
      <c r="R81" s="19"/>
    </row>
    <row r="82" spans="1:18" ht="15.75" hidden="1">
      <c r="A82" s="19"/>
      <c r="B82" s="20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2"/>
      <c r="Q82" s="23"/>
      <c r="R82" s="19"/>
    </row>
    <row r="83" spans="1:18" ht="15.6" hidden="1" customHeight="1"/>
    <row r="84" spans="1:18" ht="15.6" hidden="1" customHeight="1"/>
    <row r="85" spans="1:18" ht="15.6" hidden="1" customHeight="1"/>
    <row r="86" spans="1:18" ht="15.6" customHeight="1"/>
  </sheetData>
  <sheetProtection password="FC12" sheet="1" objects="1" scenarios="1"/>
  <mergeCells count="130"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6:O56"/>
    <mergeCell ref="C57:O57"/>
    <mergeCell ref="C59:O59"/>
    <mergeCell ref="C60:O60"/>
    <mergeCell ref="C61:O61"/>
    <mergeCell ref="C62:O62"/>
    <mergeCell ref="C52:E52"/>
    <mergeCell ref="F52:G52"/>
    <mergeCell ref="H52:J52"/>
    <mergeCell ref="L52:N52"/>
    <mergeCell ref="C55:E55"/>
    <mergeCell ref="F55:G55"/>
    <mergeCell ref="H55:J55"/>
    <mergeCell ref="L55:N55"/>
    <mergeCell ref="C53:E53"/>
    <mergeCell ref="C54:E54"/>
    <mergeCell ref="F53:G53"/>
    <mergeCell ref="F54:G54"/>
    <mergeCell ref="H53:J53"/>
    <mergeCell ref="H54:J54"/>
    <mergeCell ref="L53:N53"/>
    <mergeCell ref="L54:N54"/>
    <mergeCell ref="C58:O58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62"/>
  <sheetViews>
    <sheetView workbookViewId="0">
      <selection activeCell="H18" sqref="H18:J18"/>
    </sheetView>
  </sheetViews>
  <sheetFormatPr defaultColWidth="0" defaultRowHeight="12.75" zeroHeight="1"/>
  <cols>
    <col min="1" max="8" width="9.140625" style="93" customWidth="1"/>
    <col min="9" max="9" width="10.85546875" style="93" customWidth="1"/>
    <col min="10" max="10" width="9.85546875" style="93" customWidth="1"/>
    <col min="11" max="11" width="9.140625" style="93" customWidth="1"/>
    <col min="12" max="12" width="9.140625" style="94" customWidth="1"/>
    <col min="13" max="13" width="1.85546875" style="92" customWidth="1"/>
    <col min="14" max="16384" width="9.140625" style="92" hidden="1"/>
  </cols>
  <sheetData>
    <row r="1" spans="1:13" ht="18">
      <c r="A1" s="434" t="s">
        <v>83</v>
      </c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6"/>
      <c r="M1" s="415"/>
    </row>
    <row r="2" spans="1:13">
      <c r="A2" s="437" t="s">
        <v>84</v>
      </c>
      <c r="B2" s="438"/>
      <c r="C2" s="438"/>
      <c r="D2" s="438"/>
      <c r="E2" s="438"/>
      <c r="F2" s="438"/>
      <c r="G2" s="438"/>
      <c r="H2" s="438"/>
      <c r="I2" s="438"/>
      <c r="J2" s="438"/>
      <c r="K2" s="438"/>
      <c r="L2" s="439"/>
      <c r="M2" s="415"/>
    </row>
    <row r="3" spans="1:13">
      <c r="A3" s="437" t="s">
        <v>85</v>
      </c>
      <c r="B3" s="438"/>
      <c r="C3" s="438"/>
      <c r="D3" s="438"/>
      <c r="E3" s="438"/>
      <c r="F3" s="438"/>
      <c r="G3" s="438"/>
      <c r="H3" s="438"/>
      <c r="I3" s="438"/>
      <c r="J3" s="438"/>
      <c r="K3" s="438"/>
      <c r="L3" s="439"/>
      <c r="M3" s="415"/>
    </row>
    <row r="4" spans="1:13">
      <c r="A4" s="440" t="s">
        <v>86</v>
      </c>
      <c r="B4" s="441"/>
      <c r="C4" s="441"/>
      <c r="D4" s="441"/>
      <c r="E4" s="441"/>
      <c r="F4" s="441"/>
      <c r="G4" s="441"/>
      <c r="H4" s="441"/>
      <c r="I4" s="441"/>
      <c r="J4" s="441"/>
      <c r="K4" s="441"/>
      <c r="L4" s="442"/>
      <c r="M4" s="415"/>
    </row>
    <row r="5" spans="1:13">
      <c r="A5" s="443" t="s">
        <v>87</v>
      </c>
      <c r="B5" s="444"/>
      <c r="C5" s="444"/>
      <c r="D5" s="444"/>
      <c r="E5" s="444"/>
      <c r="F5" s="444"/>
      <c r="G5" s="444"/>
      <c r="H5" s="444"/>
      <c r="I5" s="444"/>
      <c r="J5" s="444"/>
      <c r="K5" s="444"/>
      <c r="L5" s="445"/>
      <c r="M5" s="415"/>
    </row>
    <row r="6" spans="1:13" ht="33" customHeight="1">
      <c r="A6" s="446" t="s">
        <v>88</v>
      </c>
      <c r="B6" s="447"/>
      <c r="C6" s="447"/>
      <c r="D6" s="447"/>
      <c r="E6" s="447"/>
      <c r="F6" s="447"/>
      <c r="G6" s="446" t="s">
        <v>89</v>
      </c>
      <c r="H6" s="446"/>
      <c r="I6" s="446"/>
      <c r="J6" s="446"/>
      <c r="K6" s="446"/>
      <c r="L6" s="446"/>
      <c r="M6" s="415"/>
    </row>
    <row r="7" spans="1:13" ht="16.5" customHeight="1">
      <c r="A7" s="416" t="str">
        <f>'[1]Basic Profile'!D6</f>
        <v>HANUMAN SAHAY REGAR</v>
      </c>
      <c r="B7" s="417"/>
      <c r="C7" s="417"/>
      <c r="D7" s="417"/>
      <c r="E7" s="417"/>
      <c r="F7" s="418"/>
      <c r="G7" s="419" t="str">
        <f>'GA-55'!D6</f>
        <v>PARMANAND MEGHWAL</v>
      </c>
      <c r="H7" s="420"/>
      <c r="I7" s="420"/>
      <c r="J7" s="420"/>
      <c r="K7" s="420"/>
      <c r="L7" s="421"/>
      <c r="M7" s="415"/>
    </row>
    <row r="8" spans="1:13" ht="18.95" customHeight="1">
      <c r="A8" s="422" t="str">
        <f>'[1]Basic Profile'!D8</f>
        <v>PRINCIPAL</v>
      </c>
      <c r="B8" s="423"/>
      <c r="C8" s="423"/>
      <c r="D8" s="423"/>
      <c r="E8" s="423"/>
      <c r="F8" s="424"/>
      <c r="G8" s="425" t="str">
        <f>'GA-55'!K6</f>
        <v>SR TEACHER</v>
      </c>
      <c r="H8" s="426"/>
      <c r="I8" s="426"/>
      <c r="J8" s="426"/>
      <c r="K8" s="426"/>
      <c r="L8" s="427"/>
      <c r="M8" s="415"/>
    </row>
    <row r="9" spans="1:13">
      <c r="A9" s="428" t="str">
        <f>'GA-55'!C4</f>
        <v>GOVT SR. SEC SCHOOL DILOD GORDHANPURA, ATRU BARAN</v>
      </c>
      <c r="B9" s="429"/>
      <c r="C9" s="429"/>
      <c r="D9" s="429"/>
      <c r="E9" s="429"/>
      <c r="F9" s="430"/>
      <c r="G9" s="428" t="str">
        <f>A9</f>
        <v>GOVT SR. SEC SCHOOL DILOD GORDHANPURA, ATRU BARAN</v>
      </c>
      <c r="H9" s="429"/>
      <c r="I9" s="429"/>
      <c r="J9" s="429"/>
      <c r="K9" s="429"/>
      <c r="L9" s="430"/>
      <c r="M9" s="415"/>
    </row>
    <row r="10" spans="1:13" ht="17.45" customHeight="1">
      <c r="A10" s="431"/>
      <c r="B10" s="432"/>
      <c r="C10" s="432"/>
      <c r="D10" s="432"/>
      <c r="E10" s="432"/>
      <c r="F10" s="433"/>
      <c r="G10" s="431"/>
      <c r="H10" s="432"/>
      <c r="I10" s="432"/>
      <c r="J10" s="432"/>
      <c r="K10" s="432"/>
      <c r="L10" s="433"/>
      <c r="M10" s="415"/>
    </row>
    <row r="11" spans="1:13">
      <c r="A11" s="458" t="s">
        <v>90</v>
      </c>
      <c r="B11" s="457"/>
      <c r="C11" s="461"/>
      <c r="D11" s="458" t="s">
        <v>91</v>
      </c>
      <c r="E11" s="457"/>
      <c r="F11" s="461"/>
      <c r="G11" s="458" t="s">
        <v>92</v>
      </c>
      <c r="H11" s="457"/>
      <c r="I11" s="457"/>
      <c r="J11" s="457"/>
      <c r="K11" s="457"/>
      <c r="L11" s="461"/>
      <c r="M11" s="415"/>
    </row>
    <row r="12" spans="1:13" ht="15" customHeight="1">
      <c r="A12" s="470"/>
      <c r="B12" s="471"/>
      <c r="C12" s="472"/>
      <c r="D12" s="473" t="str">
        <f>'GA-55'!U6</f>
        <v>AAAAAAAA</v>
      </c>
      <c r="E12" s="474"/>
      <c r="F12" s="475"/>
      <c r="G12" s="473" t="str">
        <f>'GA-55'!P6</f>
        <v>ASQPM6311G</v>
      </c>
      <c r="H12" s="474"/>
      <c r="I12" s="474"/>
      <c r="J12" s="474"/>
      <c r="K12" s="474"/>
      <c r="L12" s="475"/>
      <c r="M12" s="415"/>
    </row>
    <row r="13" spans="1:13">
      <c r="A13" s="95" t="s">
        <v>93</v>
      </c>
      <c r="B13" s="96"/>
      <c r="C13" s="97"/>
      <c r="D13" s="448"/>
      <c r="E13" s="449"/>
      <c r="F13" s="450"/>
      <c r="G13" s="457" t="s">
        <v>94</v>
      </c>
      <c r="H13" s="457"/>
      <c r="I13" s="457"/>
      <c r="J13" s="458" t="s">
        <v>95</v>
      </c>
      <c r="K13" s="459"/>
      <c r="L13" s="460"/>
      <c r="M13" s="415"/>
    </row>
    <row r="14" spans="1:13">
      <c r="A14" s="98" t="s">
        <v>96</v>
      </c>
      <c r="B14" s="99"/>
      <c r="C14" s="100"/>
      <c r="D14" s="451"/>
      <c r="E14" s="452"/>
      <c r="F14" s="453"/>
      <c r="G14" s="458" t="s">
        <v>97</v>
      </c>
      <c r="H14" s="461"/>
      <c r="I14" s="101" t="s">
        <v>98</v>
      </c>
      <c r="J14" s="462" t="s">
        <v>360</v>
      </c>
      <c r="K14" s="463"/>
      <c r="L14" s="464"/>
      <c r="M14" s="415"/>
    </row>
    <row r="15" spans="1:13">
      <c r="A15" s="102" t="s">
        <v>99</v>
      </c>
      <c r="B15" s="103"/>
      <c r="C15" s="104"/>
      <c r="D15" s="454"/>
      <c r="E15" s="455"/>
      <c r="F15" s="456"/>
      <c r="G15" s="468" t="s">
        <v>361</v>
      </c>
      <c r="H15" s="469"/>
      <c r="I15" s="105" t="s">
        <v>362</v>
      </c>
      <c r="J15" s="465"/>
      <c r="K15" s="466"/>
      <c r="L15" s="467"/>
      <c r="M15" s="415"/>
    </row>
    <row r="16" spans="1:13">
      <c r="A16" s="102" t="s">
        <v>100</v>
      </c>
      <c r="B16" s="103"/>
      <c r="C16" s="103"/>
      <c r="D16" s="106"/>
      <c r="E16" s="106"/>
      <c r="F16" s="106"/>
      <c r="G16" s="107"/>
      <c r="H16" s="107"/>
      <c r="I16" s="107"/>
      <c r="J16" s="107"/>
      <c r="K16" s="107"/>
      <c r="L16" s="108"/>
      <c r="M16" s="415"/>
    </row>
    <row r="17" spans="1:13">
      <c r="A17" s="446" t="s">
        <v>101</v>
      </c>
      <c r="B17" s="446"/>
      <c r="C17" s="476" t="s">
        <v>102</v>
      </c>
      <c r="D17" s="476"/>
      <c r="E17" s="476"/>
      <c r="F17" s="477" t="s">
        <v>103</v>
      </c>
      <c r="G17" s="477"/>
      <c r="H17" s="478" t="s">
        <v>104</v>
      </c>
      <c r="I17" s="479"/>
      <c r="J17" s="480"/>
      <c r="K17" s="476" t="s">
        <v>105</v>
      </c>
      <c r="L17" s="476"/>
      <c r="M17" s="415"/>
    </row>
    <row r="18" spans="1:13">
      <c r="A18" s="468" t="s">
        <v>106</v>
      </c>
      <c r="B18" s="469"/>
      <c r="C18" s="481"/>
      <c r="D18" s="482"/>
      <c r="E18" s="483"/>
      <c r="F18" s="484">
        <f>SUM('GA-55'!N10+'GA-55'!N11+'GA-55'!N12)</f>
        <v>174661</v>
      </c>
      <c r="G18" s="485"/>
      <c r="H18" s="481">
        <f>SUM('GA-55'!X10:X12)</f>
        <v>0</v>
      </c>
      <c r="I18" s="482"/>
      <c r="J18" s="483"/>
      <c r="K18" s="484">
        <f>H18</f>
        <v>0</v>
      </c>
      <c r="L18" s="486"/>
      <c r="M18" s="415"/>
    </row>
    <row r="19" spans="1:13">
      <c r="A19" s="468" t="s">
        <v>107</v>
      </c>
      <c r="B19" s="469"/>
      <c r="C19" s="481"/>
      <c r="D19" s="482"/>
      <c r="E19" s="483"/>
      <c r="F19" s="484">
        <f>SUM('GA-55'!N13+'GA-55'!N14+'GA-55'!N15+'GA-55'!N22)</f>
        <v>184509</v>
      </c>
      <c r="G19" s="485"/>
      <c r="H19" s="481">
        <f>SUM('GA-55'!X13:X15)+'GA-55'!X22</f>
        <v>0</v>
      </c>
      <c r="I19" s="482"/>
      <c r="J19" s="483"/>
      <c r="K19" s="484">
        <f>H19</f>
        <v>0</v>
      </c>
      <c r="L19" s="486"/>
      <c r="M19" s="415"/>
    </row>
    <row r="20" spans="1:13">
      <c r="A20" s="468" t="s">
        <v>108</v>
      </c>
      <c r="B20" s="469"/>
      <c r="C20" s="481"/>
      <c r="D20" s="482"/>
      <c r="E20" s="483"/>
      <c r="F20" s="484">
        <f>SUM('GA-55'!N16+'GA-55'!N17+'GA-55'!N18+'GA-55'!N25)</f>
        <v>190031</v>
      </c>
      <c r="G20" s="485"/>
      <c r="H20" s="481">
        <f>SUM('GA-55'!X16:X18)+'GA-55'!X25</f>
        <v>0</v>
      </c>
      <c r="I20" s="482"/>
      <c r="J20" s="483"/>
      <c r="K20" s="484">
        <f>H20</f>
        <v>0</v>
      </c>
      <c r="L20" s="485"/>
      <c r="M20" s="415"/>
    </row>
    <row r="21" spans="1:13">
      <c r="A21" s="468" t="s">
        <v>109</v>
      </c>
      <c r="B21" s="469"/>
      <c r="C21" s="481"/>
      <c r="D21" s="482"/>
      <c r="E21" s="483"/>
      <c r="F21" s="484">
        <f>SUM('GA-55'!N19+'GA-55'!N20+'GA-55'!N21+'GA-55'!N22+'GA-55'!N24+'GA-55'!N26+'GA-55'!N227+'GA-55'!N28+'GA-55'!N29+'GA-55'!N30)</f>
        <v>220406</v>
      </c>
      <c r="G21" s="485"/>
      <c r="H21" s="481">
        <f>SUM('GA-55'!X19:X30)</f>
        <v>0</v>
      </c>
      <c r="I21" s="482"/>
      <c r="J21" s="483"/>
      <c r="K21" s="484">
        <f>H21</f>
        <v>0</v>
      </c>
      <c r="L21" s="485"/>
      <c r="M21" s="415"/>
    </row>
    <row r="22" spans="1:13">
      <c r="A22" s="458" t="s">
        <v>110</v>
      </c>
      <c r="B22" s="461"/>
      <c r="C22" s="487"/>
      <c r="D22" s="488"/>
      <c r="E22" s="489"/>
      <c r="F22" s="490">
        <f>SUM(F18:F21)</f>
        <v>769607</v>
      </c>
      <c r="G22" s="491"/>
      <c r="H22" s="487">
        <f>SUM(H18:H21)</f>
        <v>0</v>
      </c>
      <c r="I22" s="488"/>
      <c r="J22" s="489"/>
      <c r="K22" s="490">
        <f>SUM(K18:K21)</f>
        <v>0</v>
      </c>
      <c r="L22" s="491"/>
      <c r="M22" s="415"/>
    </row>
    <row r="23" spans="1:13">
      <c r="A23" s="499" t="s">
        <v>111</v>
      </c>
      <c r="B23" s="500"/>
      <c r="C23" s="500"/>
      <c r="D23" s="500"/>
      <c r="E23" s="501"/>
      <c r="F23" s="501"/>
      <c r="G23" s="501"/>
      <c r="H23" s="501"/>
      <c r="I23" s="501"/>
      <c r="J23" s="501"/>
      <c r="K23" s="501"/>
      <c r="L23" s="502"/>
      <c r="M23" s="415"/>
    </row>
    <row r="24" spans="1:13">
      <c r="A24" s="109" t="s">
        <v>112</v>
      </c>
      <c r="B24" s="503" t="s">
        <v>113</v>
      </c>
      <c r="C24" s="503"/>
      <c r="D24" s="504"/>
      <c r="E24" s="505" t="s">
        <v>114</v>
      </c>
      <c r="F24" s="506"/>
      <c r="G24" s="506"/>
      <c r="H24" s="506"/>
      <c r="I24" s="507"/>
      <c r="J24" s="507"/>
      <c r="K24" s="506"/>
      <c r="L24" s="508"/>
      <c r="M24" s="415"/>
    </row>
    <row r="25" spans="1:13">
      <c r="A25" s="110"/>
      <c r="B25" s="509" t="s">
        <v>115</v>
      </c>
      <c r="C25" s="509"/>
      <c r="D25" s="509"/>
      <c r="E25" s="510" t="s">
        <v>116</v>
      </c>
      <c r="F25" s="511"/>
      <c r="G25" s="510" t="s">
        <v>117</v>
      </c>
      <c r="H25" s="512"/>
      <c r="I25" s="510" t="s">
        <v>118</v>
      </c>
      <c r="J25" s="512"/>
      <c r="K25" s="513" t="s">
        <v>119</v>
      </c>
      <c r="L25" s="514"/>
      <c r="M25" s="415"/>
    </row>
    <row r="26" spans="1:13">
      <c r="A26" s="110"/>
      <c r="B26" s="111"/>
      <c r="C26" s="111" t="s">
        <v>120</v>
      </c>
      <c r="D26" s="111"/>
      <c r="E26" s="516" t="s">
        <v>121</v>
      </c>
      <c r="F26" s="517"/>
      <c r="G26" s="516" t="s">
        <v>121</v>
      </c>
      <c r="H26" s="518"/>
      <c r="I26" s="516" t="s">
        <v>121</v>
      </c>
      <c r="J26" s="518"/>
      <c r="K26" s="492" t="s">
        <v>122</v>
      </c>
      <c r="L26" s="493"/>
      <c r="M26" s="415"/>
    </row>
    <row r="27" spans="1:13">
      <c r="A27" s="112"/>
      <c r="B27" s="494"/>
      <c r="C27" s="494"/>
      <c r="D27" s="494"/>
      <c r="E27" s="113"/>
      <c r="F27" s="114"/>
      <c r="G27" s="495"/>
      <c r="H27" s="496"/>
      <c r="I27" s="497" t="s">
        <v>123</v>
      </c>
      <c r="J27" s="498"/>
      <c r="K27" s="115"/>
      <c r="L27" s="116"/>
      <c r="M27" s="415"/>
    </row>
    <row r="28" spans="1:13">
      <c r="A28" s="101">
        <v>1</v>
      </c>
      <c r="B28" s="481">
        <f>'GA-55'!X10</f>
        <v>0</v>
      </c>
      <c r="C28" s="482"/>
      <c r="D28" s="483"/>
      <c r="E28" s="484"/>
      <c r="F28" s="485"/>
      <c r="G28" s="481"/>
      <c r="H28" s="483"/>
      <c r="I28" s="515"/>
      <c r="J28" s="515"/>
      <c r="K28" s="117"/>
      <c r="L28" s="117"/>
      <c r="M28" s="415"/>
    </row>
    <row r="29" spans="1:13">
      <c r="A29" s="118">
        <v>2</v>
      </c>
      <c r="B29" s="481">
        <f>'GA-55'!X11</f>
        <v>0</v>
      </c>
      <c r="C29" s="482"/>
      <c r="D29" s="483"/>
      <c r="E29" s="484"/>
      <c r="F29" s="485"/>
      <c r="G29" s="481"/>
      <c r="H29" s="483"/>
      <c r="I29" s="515"/>
      <c r="J29" s="515"/>
      <c r="K29" s="117"/>
      <c r="L29" s="117"/>
      <c r="M29" s="415"/>
    </row>
    <row r="30" spans="1:13">
      <c r="A30" s="118">
        <v>3</v>
      </c>
      <c r="B30" s="481">
        <f>'GA-55'!X12</f>
        <v>0</v>
      </c>
      <c r="C30" s="482"/>
      <c r="D30" s="483"/>
      <c r="E30" s="119"/>
      <c r="F30" s="120"/>
      <c r="G30" s="121"/>
      <c r="H30" s="122"/>
      <c r="I30" s="123"/>
      <c r="J30" s="124"/>
      <c r="K30" s="117"/>
      <c r="L30" s="117"/>
      <c r="M30" s="415"/>
    </row>
    <row r="31" spans="1:13">
      <c r="A31" s="118">
        <v>4</v>
      </c>
      <c r="B31" s="481">
        <f>'GA-55'!X13</f>
        <v>0</v>
      </c>
      <c r="C31" s="482"/>
      <c r="D31" s="483"/>
      <c r="E31" s="119"/>
      <c r="F31" s="120"/>
      <c r="G31" s="121"/>
      <c r="H31" s="122"/>
      <c r="I31" s="121"/>
      <c r="J31" s="122"/>
      <c r="K31" s="117"/>
      <c r="L31" s="117"/>
      <c r="M31" s="415"/>
    </row>
    <row r="32" spans="1:13">
      <c r="A32" s="118">
        <v>5</v>
      </c>
      <c r="B32" s="481">
        <f>'GA-55'!X14</f>
        <v>0</v>
      </c>
      <c r="C32" s="482"/>
      <c r="D32" s="483"/>
      <c r="E32" s="119"/>
      <c r="F32" s="120"/>
      <c r="G32" s="121"/>
      <c r="H32" s="122"/>
      <c r="I32" s="121"/>
      <c r="J32" s="122"/>
      <c r="K32" s="117"/>
      <c r="L32" s="117"/>
      <c r="M32" s="415"/>
    </row>
    <row r="33" spans="1:13">
      <c r="A33" s="118">
        <v>6</v>
      </c>
      <c r="B33" s="481">
        <f>'GA-55'!X15</f>
        <v>0</v>
      </c>
      <c r="C33" s="482"/>
      <c r="D33" s="483"/>
      <c r="E33" s="119"/>
      <c r="F33" s="120"/>
      <c r="G33" s="121"/>
      <c r="H33" s="122"/>
      <c r="I33" s="121"/>
      <c r="J33" s="122"/>
      <c r="K33" s="117"/>
      <c r="L33" s="117"/>
      <c r="M33" s="415"/>
    </row>
    <row r="34" spans="1:13">
      <c r="A34" s="118">
        <v>7</v>
      </c>
      <c r="B34" s="481">
        <f>'GA-55'!X16</f>
        <v>0</v>
      </c>
      <c r="C34" s="482"/>
      <c r="D34" s="483"/>
      <c r="E34" s="119"/>
      <c r="F34" s="120"/>
      <c r="G34" s="121"/>
      <c r="H34" s="122"/>
      <c r="I34" s="121"/>
      <c r="J34" s="122"/>
      <c r="K34" s="117"/>
      <c r="L34" s="117"/>
      <c r="M34" s="415"/>
    </row>
    <row r="35" spans="1:13">
      <c r="A35" s="118">
        <v>8</v>
      </c>
      <c r="B35" s="481">
        <f>'GA-55'!X17</f>
        <v>0</v>
      </c>
      <c r="C35" s="482"/>
      <c r="D35" s="483"/>
      <c r="E35" s="119"/>
      <c r="F35" s="120"/>
      <c r="G35" s="121"/>
      <c r="H35" s="122"/>
      <c r="I35" s="121"/>
      <c r="J35" s="122"/>
      <c r="K35" s="117"/>
      <c r="L35" s="117"/>
      <c r="M35" s="415"/>
    </row>
    <row r="36" spans="1:13">
      <c r="A36" s="118">
        <v>9</v>
      </c>
      <c r="B36" s="481">
        <f>'GA-55'!X18</f>
        <v>0</v>
      </c>
      <c r="C36" s="482"/>
      <c r="D36" s="483"/>
      <c r="E36" s="484"/>
      <c r="F36" s="485"/>
      <c r="G36" s="481"/>
      <c r="H36" s="483"/>
      <c r="I36" s="481"/>
      <c r="J36" s="483"/>
      <c r="K36" s="117"/>
      <c r="L36" s="117"/>
      <c r="M36" s="415"/>
    </row>
    <row r="37" spans="1:13">
      <c r="A37" s="118">
        <v>10</v>
      </c>
      <c r="B37" s="481">
        <f>'GA-55'!X19</f>
        <v>0</v>
      </c>
      <c r="C37" s="482"/>
      <c r="D37" s="483"/>
      <c r="E37" s="484"/>
      <c r="F37" s="485"/>
      <c r="G37" s="481"/>
      <c r="H37" s="483"/>
      <c r="I37" s="481"/>
      <c r="J37" s="483"/>
      <c r="K37" s="117"/>
      <c r="L37" s="117"/>
      <c r="M37" s="415"/>
    </row>
    <row r="38" spans="1:13">
      <c r="A38" s="118">
        <v>11</v>
      </c>
      <c r="B38" s="481">
        <f>'GA-55'!X20</f>
        <v>0</v>
      </c>
      <c r="C38" s="482"/>
      <c r="D38" s="483"/>
      <c r="E38" s="484"/>
      <c r="F38" s="485"/>
      <c r="G38" s="481"/>
      <c r="H38" s="483"/>
      <c r="I38" s="481"/>
      <c r="J38" s="483"/>
      <c r="K38" s="117"/>
      <c r="L38" s="117"/>
      <c r="M38" s="415"/>
    </row>
    <row r="39" spans="1:13">
      <c r="A39" s="118">
        <v>12</v>
      </c>
      <c r="B39" s="481">
        <f>'GA-55'!X21</f>
        <v>0</v>
      </c>
      <c r="C39" s="482"/>
      <c r="D39" s="483"/>
      <c r="E39" s="484"/>
      <c r="F39" s="485"/>
      <c r="G39" s="481"/>
      <c r="H39" s="483"/>
      <c r="I39" s="519"/>
      <c r="J39" s="520"/>
      <c r="K39" s="117"/>
      <c r="L39" s="117"/>
      <c r="M39" s="415"/>
    </row>
    <row r="40" spans="1:13">
      <c r="A40" s="118">
        <v>13</v>
      </c>
      <c r="B40" s="481">
        <f>SUM('GA-55'!X22+'GA-55'!X23+'GA-55'!X24+'GA-55'!X25+'GA-55'!X26+'GA-55'!X27+'GA-55'!X28+'GA-55'!X29+'GA-55'!X30)</f>
        <v>0</v>
      </c>
      <c r="C40" s="482"/>
      <c r="D40" s="483"/>
      <c r="E40" s="119"/>
      <c r="F40" s="120"/>
      <c r="G40" s="121"/>
      <c r="H40" s="122"/>
      <c r="I40" s="125"/>
      <c r="J40" s="126"/>
      <c r="K40" s="117"/>
      <c r="L40" s="117"/>
      <c r="M40" s="415"/>
    </row>
    <row r="41" spans="1:13">
      <c r="A41" s="112" t="s">
        <v>124</v>
      </c>
      <c r="B41" s="481">
        <f>SUM(B28:B40)</f>
        <v>0</v>
      </c>
      <c r="C41" s="482"/>
      <c r="D41" s="483"/>
      <c r="E41" s="484"/>
      <c r="F41" s="485"/>
      <c r="G41" s="481"/>
      <c r="H41" s="483"/>
      <c r="I41" s="515"/>
      <c r="J41" s="515"/>
      <c r="K41" s="117"/>
      <c r="L41" s="117"/>
      <c r="M41" s="415"/>
    </row>
    <row r="42" spans="1:13">
      <c r="A42" s="102"/>
      <c r="B42" s="127"/>
      <c r="C42" s="127"/>
      <c r="D42" s="127"/>
      <c r="E42" s="128"/>
      <c r="F42" s="128"/>
      <c r="G42" s="127"/>
      <c r="H42" s="127"/>
      <c r="I42" s="107"/>
      <c r="J42" s="107"/>
      <c r="K42" s="107"/>
      <c r="L42" s="116"/>
      <c r="M42" s="415"/>
    </row>
    <row r="43" spans="1:13">
      <c r="A43" s="499" t="s">
        <v>125</v>
      </c>
      <c r="B43" s="500"/>
      <c r="C43" s="500"/>
      <c r="D43" s="500"/>
      <c r="E43" s="501"/>
      <c r="F43" s="501"/>
      <c r="G43" s="501"/>
      <c r="H43" s="501"/>
      <c r="I43" s="501"/>
      <c r="J43" s="501"/>
      <c r="K43" s="501"/>
      <c r="L43" s="502"/>
      <c r="M43" s="415"/>
    </row>
    <row r="44" spans="1:13">
      <c r="A44" s="109" t="s">
        <v>112</v>
      </c>
      <c r="B44" s="503" t="s">
        <v>113</v>
      </c>
      <c r="C44" s="503"/>
      <c r="D44" s="504"/>
      <c r="E44" s="505" t="s">
        <v>126</v>
      </c>
      <c r="F44" s="506"/>
      <c r="G44" s="506"/>
      <c r="H44" s="506"/>
      <c r="I44" s="507"/>
      <c r="J44" s="507"/>
      <c r="K44" s="506"/>
      <c r="L44" s="508"/>
      <c r="M44" s="415"/>
    </row>
    <row r="45" spans="1:13">
      <c r="A45" s="110"/>
      <c r="B45" s="509" t="s">
        <v>115</v>
      </c>
      <c r="C45" s="509"/>
      <c r="D45" s="509"/>
      <c r="E45" s="510" t="s">
        <v>127</v>
      </c>
      <c r="F45" s="511"/>
      <c r="G45" s="510" t="s">
        <v>128</v>
      </c>
      <c r="H45" s="512"/>
      <c r="I45" s="510" t="s">
        <v>129</v>
      </c>
      <c r="J45" s="512"/>
      <c r="K45" s="513" t="s">
        <v>119</v>
      </c>
      <c r="L45" s="514"/>
      <c r="M45" s="415"/>
    </row>
    <row r="46" spans="1:13">
      <c r="A46" s="110"/>
      <c r="B46" s="111"/>
      <c r="C46" s="111" t="s">
        <v>120</v>
      </c>
      <c r="D46" s="111"/>
      <c r="E46" s="516" t="s">
        <v>130</v>
      </c>
      <c r="F46" s="517"/>
      <c r="G46" s="516" t="s">
        <v>43</v>
      </c>
      <c r="H46" s="518"/>
      <c r="I46" s="516" t="s">
        <v>131</v>
      </c>
      <c r="J46" s="518"/>
      <c r="K46" s="492" t="s">
        <v>122</v>
      </c>
      <c r="L46" s="493"/>
      <c r="M46" s="415"/>
    </row>
    <row r="47" spans="1:13">
      <c r="A47" s="112"/>
      <c r="B47" s="494"/>
      <c r="C47" s="494"/>
      <c r="D47" s="494"/>
      <c r="E47" s="113"/>
      <c r="F47" s="114"/>
      <c r="G47" s="495" t="s">
        <v>123</v>
      </c>
      <c r="H47" s="496"/>
      <c r="I47" s="497"/>
      <c r="J47" s="498"/>
      <c r="K47" s="115"/>
      <c r="L47" s="116"/>
      <c r="M47" s="415"/>
    </row>
    <row r="48" spans="1:13">
      <c r="A48" s="101">
        <v>1</v>
      </c>
      <c r="B48" s="481"/>
      <c r="C48" s="482"/>
      <c r="D48" s="483"/>
      <c r="E48" s="129"/>
      <c r="F48" s="120"/>
      <c r="G48" s="481"/>
      <c r="H48" s="483"/>
      <c r="I48" s="521"/>
      <c r="J48" s="515"/>
      <c r="K48" s="117"/>
      <c r="L48" s="117"/>
      <c r="M48" s="415"/>
    </row>
    <row r="49" spans="1:13">
      <c r="A49" s="118">
        <v>2</v>
      </c>
      <c r="B49" s="481"/>
      <c r="C49" s="482"/>
      <c r="D49" s="483"/>
      <c r="E49" s="129"/>
      <c r="F49" s="120"/>
      <c r="G49" s="481"/>
      <c r="H49" s="483"/>
      <c r="I49" s="521"/>
      <c r="J49" s="515"/>
      <c r="K49" s="117"/>
      <c r="L49" s="117"/>
      <c r="M49" s="415"/>
    </row>
    <row r="50" spans="1:13">
      <c r="A50" s="118">
        <v>3</v>
      </c>
      <c r="B50" s="481"/>
      <c r="C50" s="482"/>
      <c r="D50" s="483"/>
      <c r="E50" s="129"/>
      <c r="F50" s="120"/>
      <c r="G50" s="481"/>
      <c r="H50" s="483"/>
      <c r="I50" s="523"/>
      <c r="J50" s="524"/>
      <c r="K50" s="117"/>
      <c r="L50" s="117"/>
      <c r="M50" s="415"/>
    </row>
    <row r="51" spans="1:13">
      <c r="A51" s="118">
        <v>4</v>
      </c>
      <c r="B51" s="481"/>
      <c r="C51" s="482"/>
      <c r="D51" s="483"/>
      <c r="E51" s="129"/>
      <c r="F51" s="120"/>
      <c r="G51" s="481"/>
      <c r="H51" s="483"/>
      <c r="I51" s="522"/>
      <c r="J51" s="483"/>
      <c r="K51" s="117"/>
      <c r="L51" s="117"/>
      <c r="M51" s="415"/>
    </row>
    <row r="52" spans="1:13">
      <c r="A52" s="118">
        <v>5</v>
      </c>
      <c r="B52" s="481"/>
      <c r="C52" s="482"/>
      <c r="D52" s="483"/>
      <c r="E52" s="129"/>
      <c r="F52" s="120"/>
      <c r="G52" s="481"/>
      <c r="H52" s="483"/>
      <c r="I52" s="522"/>
      <c r="J52" s="483"/>
      <c r="K52" s="117"/>
      <c r="L52" s="117"/>
      <c r="M52" s="415"/>
    </row>
    <row r="53" spans="1:13">
      <c r="A53" s="118">
        <v>6</v>
      </c>
      <c r="B53" s="481"/>
      <c r="C53" s="482"/>
      <c r="D53" s="483"/>
      <c r="E53" s="129"/>
      <c r="F53" s="120"/>
      <c r="G53" s="481"/>
      <c r="H53" s="483"/>
      <c r="I53" s="522"/>
      <c r="J53" s="483"/>
      <c r="K53" s="117"/>
      <c r="L53" s="117"/>
      <c r="M53" s="415"/>
    </row>
    <row r="54" spans="1:13">
      <c r="A54" s="118">
        <v>7</v>
      </c>
      <c r="B54" s="481"/>
      <c r="C54" s="482"/>
      <c r="D54" s="483"/>
      <c r="E54" s="129"/>
      <c r="F54" s="120"/>
      <c r="G54" s="481"/>
      <c r="H54" s="483"/>
      <c r="I54" s="522"/>
      <c r="J54" s="483"/>
      <c r="K54" s="117"/>
      <c r="L54" s="117"/>
      <c r="M54" s="415"/>
    </row>
    <row r="55" spans="1:13">
      <c r="A55" s="118">
        <v>8</v>
      </c>
      <c r="B55" s="481"/>
      <c r="C55" s="482"/>
      <c r="D55" s="483"/>
      <c r="E55" s="129"/>
      <c r="F55" s="120"/>
      <c r="G55" s="481"/>
      <c r="H55" s="483"/>
      <c r="I55" s="522"/>
      <c r="J55" s="483"/>
      <c r="K55" s="117"/>
      <c r="L55" s="117"/>
      <c r="M55" s="415"/>
    </row>
    <row r="56" spans="1:13">
      <c r="A56" s="118">
        <v>9</v>
      </c>
      <c r="B56" s="481"/>
      <c r="C56" s="482"/>
      <c r="D56" s="483"/>
      <c r="E56" s="129"/>
      <c r="F56" s="120"/>
      <c r="G56" s="481"/>
      <c r="H56" s="483"/>
      <c r="I56" s="522"/>
      <c r="J56" s="483"/>
      <c r="K56" s="117"/>
      <c r="L56" s="117"/>
      <c r="M56" s="415"/>
    </row>
    <row r="57" spans="1:13">
      <c r="A57" s="118">
        <v>10</v>
      </c>
      <c r="B57" s="481"/>
      <c r="C57" s="482"/>
      <c r="D57" s="483"/>
      <c r="E57" s="129"/>
      <c r="F57" s="120"/>
      <c r="G57" s="481"/>
      <c r="H57" s="483"/>
      <c r="I57" s="522"/>
      <c r="J57" s="483"/>
      <c r="K57" s="117"/>
      <c r="L57" s="117"/>
      <c r="M57" s="415"/>
    </row>
    <row r="58" spans="1:13">
      <c r="A58" s="118">
        <v>11</v>
      </c>
      <c r="B58" s="481"/>
      <c r="C58" s="482"/>
      <c r="D58" s="483"/>
      <c r="E58" s="129"/>
      <c r="F58" s="120"/>
      <c r="G58" s="481"/>
      <c r="H58" s="483"/>
      <c r="I58" s="522"/>
      <c r="J58" s="483"/>
      <c r="K58" s="117"/>
      <c r="L58" s="117"/>
      <c r="M58" s="415"/>
    </row>
    <row r="59" spans="1:13">
      <c r="A59" s="118">
        <v>12</v>
      </c>
      <c r="B59" s="481"/>
      <c r="C59" s="482"/>
      <c r="D59" s="483"/>
      <c r="E59" s="129"/>
      <c r="F59" s="120"/>
      <c r="G59" s="481"/>
      <c r="H59" s="483"/>
      <c r="I59" s="522"/>
      <c r="J59" s="483"/>
      <c r="K59" s="117"/>
      <c r="L59" s="117"/>
      <c r="M59" s="415"/>
    </row>
    <row r="60" spans="1:13">
      <c r="A60" s="118">
        <v>13</v>
      </c>
      <c r="B60" s="481"/>
      <c r="C60" s="482"/>
      <c r="D60" s="483"/>
      <c r="E60" s="129"/>
      <c r="F60" s="120"/>
      <c r="G60" s="121"/>
      <c r="H60" s="130"/>
      <c r="I60" s="131"/>
      <c r="J60" s="130"/>
      <c r="K60" s="130"/>
      <c r="L60" s="122"/>
      <c r="M60" s="415"/>
    </row>
    <row r="61" spans="1:13">
      <c r="A61" s="132" t="s">
        <v>124</v>
      </c>
      <c r="B61" s="487">
        <f>SUM(B48:D59)</f>
        <v>0</v>
      </c>
      <c r="C61" s="488"/>
      <c r="D61" s="489"/>
      <c r="E61" s="525"/>
      <c r="F61" s="485"/>
      <c r="G61" s="481"/>
      <c r="H61" s="482"/>
      <c r="I61" s="482"/>
      <c r="J61" s="482"/>
      <c r="K61" s="482"/>
      <c r="L61" s="483"/>
      <c r="M61" s="415"/>
    </row>
    <row r="62" spans="1:13">
      <c r="A62" s="526" t="s">
        <v>132</v>
      </c>
      <c r="B62" s="527"/>
      <c r="C62" s="527"/>
      <c r="D62" s="527"/>
      <c r="E62" s="527"/>
      <c r="F62" s="527"/>
      <c r="G62" s="527"/>
      <c r="H62" s="527"/>
      <c r="I62" s="527"/>
      <c r="J62" s="527"/>
      <c r="K62" s="527"/>
      <c r="L62" s="528"/>
      <c r="M62" s="415"/>
    </row>
    <row r="63" spans="1:13">
      <c r="A63" s="133" t="s">
        <v>133</v>
      </c>
      <c r="B63" s="507" t="str">
        <f>A7</f>
        <v>HANUMAN SAHAY REGAR</v>
      </c>
      <c r="C63" s="507"/>
      <c r="D63" s="507"/>
      <c r="E63" s="134" t="s">
        <v>134</v>
      </c>
      <c r="F63" s="135"/>
      <c r="G63" s="482" t="s">
        <v>219</v>
      </c>
      <c r="H63" s="529"/>
      <c r="I63" s="529"/>
      <c r="J63" s="134" t="s">
        <v>135</v>
      </c>
      <c r="K63" s="135"/>
      <c r="L63" s="136"/>
      <c r="M63" s="415"/>
    </row>
    <row r="64" spans="1:13">
      <c r="A64" s="533" t="str">
        <f>A8</f>
        <v>PRINCIPAL</v>
      </c>
      <c r="B64" s="534"/>
      <c r="C64" s="534"/>
      <c r="D64" s="137" t="s">
        <v>136</v>
      </c>
      <c r="E64" s="99"/>
      <c r="F64" s="138"/>
      <c r="G64" s="138"/>
      <c r="H64" s="138"/>
      <c r="I64" s="139">
        <f>H22</f>
        <v>0</v>
      </c>
      <c r="J64" s="535" t="s">
        <v>137</v>
      </c>
      <c r="K64" s="535"/>
      <c r="L64" s="140"/>
      <c r="M64" s="415"/>
    </row>
    <row r="65" spans="1:13">
      <c r="A65" s="536"/>
      <c r="B65" s="537"/>
      <c r="C65" s="537"/>
      <c r="D65" s="537"/>
      <c r="E65" s="537"/>
      <c r="F65" s="141" t="s">
        <v>138</v>
      </c>
      <c r="G65" s="142"/>
      <c r="H65" s="142"/>
      <c r="I65" s="142"/>
      <c r="J65" s="142"/>
      <c r="K65" s="142"/>
      <c r="L65" s="143"/>
      <c r="M65" s="415"/>
    </row>
    <row r="66" spans="1:13">
      <c r="A66" s="538" t="s">
        <v>139</v>
      </c>
      <c r="B66" s="539"/>
      <c r="C66" s="539"/>
      <c r="D66" s="539"/>
      <c r="E66" s="539"/>
      <c r="F66" s="539"/>
      <c r="G66" s="539"/>
      <c r="H66" s="539"/>
      <c r="I66" s="539"/>
      <c r="J66" s="539"/>
      <c r="K66" s="539"/>
      <c r="L66" s="540"/>
      <c r="M66" s="415"/>
    </row>
    <row r="67" spans="1:13">
      <c r="A67" s="541"/>
      <c r="B67" s="542"/>
      <c r="C67" s="542"/>
      <c r="D67" s="542"/>
      <c r="E67" s="542"/>
      <c r="F67" s="542"/>
      <c r="G67" s="542"/>
      <c r="H67" s="542"/>
      <c r="I67" s="542"/>
      <c r="J67" s="542"/>
      <c r="K67" s="542"/>
      <c r="L67" s="543"/>
      <c r="M67" s="415"/>
    </row>
    <row r="68" spans="1:13">
      <c r="A68" s="544" t="s">
        <v>140</v>
      </c>
      <c r="B68" s="545"/>
      <c r="C68" s="144"/>
      <c r="D68" s="144"/>
      <c r="E68" s="144"/>
      <c r="F68" s="144"/>
      <c r="G68" s="144"/>
      <c r="H68" s="144"/>
      <c r="I68" s="144"/>
      <c r="J68" s="144"/>
      <c r="K68" s="144"/>
      <c r="L68" s="145"/>
      <c r="M68" s="415"/>
    </row>
    <row r="69" spans="1:13">
      <c r="A69" s="530" t="s">
        <v>141</v>
      </c>
      <c r="B69" s="531"/>
      <c r="C69" s="531"/>
      <c r="D69" s="531"/>
      <c r="E69" s="531"/>
      <c r="F69" s="531"/>
      <c r="G69" s="531"/>
      <c r="H69" s="531"/>
      <c r="I69" s="531"/>
      <c r="J69" s="531"/>
      <c r="K69" s="531"/>
      <c r="L69" s="532"/>
      <c r="M69" s="415"/>
    </row>
    <row r="70" spans="1:13">
      <c r="A70" s="530" t="s">
        <v>142</v>
      </c>
      <c r="B70" s="531"/>
      <c r="C70" s="531"/>
      <c r="D70" s="531"/>
      <c r="E70" s="531"/>
      <c r="F70" s="531"/>
      <c r="G70" s="531"/>
      <c r="H70" s="531"/>
      <c r="I70" s="531"/>
      <c r="J70" s="531"/>
      <c r="K70" s="531"/>
      <c r="L70" s="532"/>
      <c r="M70" s="415"/>
    </row>
    <row r="71" spans="1:13">
      <c r="A71" s="530" t="s">
        <v>143</v>
      </c>
      <c r="B71" s="531"/>
      <c r="C71" s="531"/>
      <c r="D71" s="531"/>
      <c r="E71" s="531"/>
      <c r="F71" s="531"/>
      <c r="G71" s="531"/>
      <c r="H71" s="531"/>
      <c r="I71" s="531"/>
      <c r="J71" s="531"/>
      <c r="K71" s="531"/>
      <c r="L71" s="532"/>
      <c r="M71" s="415"/>
    </row>
    <row r="72" spans="1:13">
      <c r="A72" s="530" t="s">
        <v>144</v>
      </c>
      <c r="B72" s="531"/>
      <c r="C72" s="531"/>
      <c r="D72" s="531"/>
      <c r="E72" s="531"/>
      <c r="F72" s="531"/>
      <c r="G72" s="531"/>
      <c r="H72" s="531"/>
      <c r="I72" s="531"/>
      <c r="J72" s="531"/>
      <c r="K72" s="531"/>
      <c r="L72" s="532"/>
      <c r="M72" s="415"/>
    </row>
    <row r="73" spans="1:13">
      <c r="A73" s="530" t="s">
        <v>145</v>
      </c>
      <c r="B73" s="531"/>
      <c r="C73" s="531"/>
      <c r="D73" s="531"/>
      <c r="E73" s="531"/>
      <c r="F73" s="531"/>
      <c r="G73" s="531"/>
      <c r="H73" s="146"/>
      <c r="I73" s="146"/>
      <c r="J73" s="146"/>
      <c r="K73" s="146"/>
      <c r="L73" s="147"/>
      <c r="M73" s="415"/>
    </row>
    <row r="74" spans="1:13">
      <c r="A74" s="530" t="s">
        <v>146</v>
      </c>
      <c r="B74" s="531"/>
      <c r="C74" s="531"/>
      <c r="D74" s="531"/>
      <c r="E74" s="531"/>
      <c r="F74" s="531"/>
      <c r="G74" s="531"/>
      <c r="H74" s="531"/>
      <c r="I74" s="531"/>
      <c r="J74" s="531"/>
      <c r="K74" s="531"/>
      <c r="L74" s="532"/>
      <c r="M74" s="415"/>
    </row>
    <row r="75" spans="1:13">
      <c r="A75" s="530" t="s">
        <v>147</v>
      </c>
      <c r="B75" s="531"/>
      <c r="C75" s="531"/>
      <c r="D75" s="531"/>
      <c r="E75" s="531"/>
      <c r="F75" s="531"/>
      <c r="G75" s="531"/>
      <c r="H75" s="531"/>
      <c r="I75" s="531"/>
      <c r="J75" s="531"/>
      <c r="K75" s="531"/>
      <c r="L75" s="532"/>
      <c r="M75" s="415"/>
    </row>
    <row r="76" spans="1:13">
      <c r="A76" s="530" t="s">
        <v>148</v>
      </c>
      <c r="B76" s="531"/>
      <c r="C76" s="531"/>
      <c r="D76" s="531"/>
      <c r="E76" s="531"/>
      <c r="F76" s="531"/>
      <c r="G76" s="531"/>
      <c r="H76" s="531"/>
      <c r="I76" s="531"/>
      <c r="J76" s="531"/>
      <c r="K76" s="531"/>
      <c r="L76" s="532"/>
      <c r="M76" s="415"/>
    </row>
    <row r="77" spans="1:13">
      <c r="A77" s="530" t="s">
        <v>149</v>
      </c>
      <c r="B77" s="531"/>
      <c r="C77" s="531"/>
      <c r="D77" s="531"/>
      <c r="E77" s="531"/>
      <c r="F77" s="531"/>
      <c r="G77" s="531"/>
      <c r="H77" s="531"/>
      <c r="I77" s="531"/>
      <c r="J77" s="531"/>
      <c r="K77" s="531"/>
      <c r="L77" s="532"/>
      <c r="M77" s="415"/>
    </row>
    <row r="78" spans="1:13">
      <c r="A78" s="538" t="s">
        <v>150</v>
      </c>
      <c r="B78" s="539"/>
      <c r="C78" s="539"/>
      <c r="D78" s="539"/>
      <c r="E78" s="539"/>
      <c r="F78" s="539"/>
      <c r="G78" s="539"/>
      <c r="H78" s="539"/>
      <c r="I78" s="539"/>
      <c r="J78" s="539"/>
      <c r="K78" s="539"/>
      <c r="L78" s="540"/>
      <c r="M78" s="415"/>
    </row>
    <row r="79" spans="1:13">
      <c r="A79" s="538" t="s">
        <v>151</v>
      </c>
      <c r="B79" s="539"/>
      <c r="C79" s="539"/>
      <c r="D79" s="539"/>
      <c r="E79" s="539"/>
      <c r="F79" s="99"/>
      <c r="G79" s="99"/>
      <c r="H79" s="99"/>
      <c r="I79" s="99"/>
      <c r="J79" s="99"/>
      <c r="K79" s="99"/>
      <c r="L79" s="148"/>
      <c r="M79" s="415"/>
    </row>
    <row r="80" spans="1:13">
      <c r="A80" s="149" t="s">
        <v>152</v>
      </c>
      <c r="B80" s="99"/>
      <c r="C80" s="99"/>
      <c r="D80" s="99"/>
      <c r="E80" s="99"/>
      <c r="F80" s="146"/>
      <c r="G80" s="146"/>
      <c r="H80" s="146"/>
      <c r="I80" s="146"/>
      <c r="J80" s="146"/>
      <c r="K80" s="146"/>
      <c r="L80" s="147"/>
      <c r="M80" s="415"/>
    </row>
    <row r="81" spans="1:13">
      <c r="A81" s="150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2"/>
      <c r="M81" s="415"/>
    </row>
    <row r="82" spans="1:13">
      <c r="A82" s="557" t="s">
        <v>153</v>
      </c>
      <c r="B82" s="558"/>
      <c r="C82" s="558"/>
      <c r="D82" s="558"/>
      <c r="E82" s="558"/>
      <c r="F82" s="558"/>
      <c r="G82" s="558"/>
      <c r="H82" s="558"/>
      <c r="I82" s="558"/>
      <c r="J82" s="558"/>
      <c r="K82" s="558"/>
      <c r="L82" s="559"/>
      <c r="M82" s="415"/>
    </row>
    <row r="83" spans="1:13" ht="15.75">
      <c r="A83" s="560" t="s">
        <v>154</v>
      </c>
      <c r="B83" s="561"/>
      <c r="C83" s="561"/>
      <c r="D83" s="561"/>
      <c r="E83" s="561"/>
      <c r="F83" s="561"/>
      <c r="G83" s="561"/>
      <c r="H83" s="561"/>
      <c r="I83" s="561"/>
      <c r="J83" s="562"/>
      <c r="K83" s="562"/>
      <c r="L83" s="563"/>
      <c r="M83" s="415"/>
    </row>
    <row r="84" spans="1:13" ht="15">
      <c r="A84" s="153" t="s">
        <v>155</v>
      </c>
      <c r="B84" s="154"/>
      <c r="C84" s="155"/>
      <c r="D84" s="155"/>
      <c r="E84" s="155"/>
      <c r="F84" s="155"/>
      <c r="G84" s="155"/>
      <c r="H84" s="155"/>
      <c r="I84" s="156"/>
      <c r="J84" s="155"/>
      <c r="K84" s="155"/>
      <c r="L84" s="156"/>
      <c r="M84" s="415"/>
    </row>
    <row r="85" spans="1:13">
      <c r="A85" s="157"/>
      <c r="B85" s="158" t="s">
        <v>156</v>
      </c>
      <c r="C85" s="158"/>
      <c r="D85" s="158"/>
      <c r="E85" s="158"/>
      <c r="F85" s="158"/>
      <c r="G85" s="155"/>
      <c r="H85" s="155"/>
      <c r="I85" s="156">
        <f>'Tax Old Regime'!Q4</f>
        <v>771355</v>
      </c>
      <c r="J85" s="155"/>
      <c r="K85" s="159"/>
      <c r="L85" s="160"/>
      <c r="M85" s="415"/>
    </row>
    <row r="86" spans="1:13">
      <c r="A86" s="157"/>
      <c r="B86" s="158" t="s">
        <v>157</v>
      </c>
      <c r="C86" s="158"/>
      <c r="D86" s="158"/>
      <c r="E86" s="158"/>
      <c r="F86" s="158"/>
      <c r="G86" s="155"/>
      <c r="H86" s="155"/>
      <c r="I86" s="156"/>
      <c r="J86" s="157"/>
      <c r="K86" s="159"/>
      <c r="L86" s="160"/>
      <c r="M86" s="415"/>
    </row>
    <row r="87" spans="1:13">
      <c r="A87" s="157"/>
      <c r="B87" s="158" t="s">
        <v>158</v>
      </c>
      <c r="C87" s="158"/>
      <c r="D87" s="158"/>
      <c r="E87" s="158"/>
      <c r="F87" s="158"/>
      <c r="G87" s="155"/>
      <c r="H87" s="155"/>
      <c r="I87" s="156"/>
      <c r="J87" s="157"/>
      <c r="K87" s="159"/>
      <c r="L87" s="160"/>
      <c r="M87" s="415"/>
    </row>
    <row r="88" spans="1:13">
      <c r="A88" s="157"/>
      <c r="B88" s="158" t="s">
        <v>159</v>
      </c>
      <c r="C88" s="158"/>
      <c r="D88" s="158"/>
      <c r="E88" s="158"/>
      <c r="F88" s="158"/>
      <c r="G88" s="155"/>
      <c r="H88" s="155"/>
      <c r="I88" s="156"/>
      <c r="J88" s="157"/>
      <c r="K88" s="159"/>
      <c r="L88" s="160"/>
      <c r="M88" s="415"/>
    </row>
    <row r="89" spans="1:13">
      <c r="A89" s="157"/>
      <c r="B89" s="158" t="s">
        <v>158</v>
      </c>
      <c r="C89" s="158"/>
      <c r="D89" s="158"/>
      <c r="E89" s="158"/>
      <c r="F89" s="158"/>
      <c r="G89" s="155"/>
      <c r="H89" s="155"/>
      <c r="I89" s="156"/>
      <c r="J89" s="157"/>
      <c r="K89" s="159"/>
      <c r="L89" s="160"/>
      <c r="M89" s="415"/>
    </row>
    <row r="90" spans="1:13">
      <c r="A90" s="157"/>
      <c r="B90" s="158" t="s">
        <v>160</v>
      </c>
      <c r="C90" s="158"/>
      <c r="D90" s="158"/>
      <c r="E90" s="158"/>
      <c r="F90" s="158"/>
      <c r="G90" s="155"/>
      <c r="H90" s="155"/>
      <c r="I90" s="157"/>
      <c r="J90" s="546">
        <f>I85+I86+I87+I88+I89</f>
        <v>771355</v>
      </c>
      <c r="K90" s="547"/>
      <c r="L90" s="160"/>
      <c r="M90" s="415"/>
    </row>
    <row r="91" spans="1:13">
      <c r="A91" s="157"/>
      <c r="B91" s="155"/>
      <c r="C91" s="155"/>
      <c r="D91" s="155"/>
      <c r="E91" s="155"/>
      <c r="F91" s="155"/>
      <c r="G91" s="155"/>
      <c r="H91" s="155"/>
      <c r="I91" s="157"/>
      <c r="J91" s="157"/>
      <c r="K91" s="159"/>
      <c r="L91" s="160"/>
      <c r="M91" s="415"/>
    </row>
    <row r="92" spans="1:13">
      <c r="A92" s="153" t="s">
        <v>161</v>
      </c>
      <c r="B92" s="155"/>
      <c r="C92" s="155"/>
      <c r="D92" s="155"/>
      <c r="E92" s="155"/>
      <c r="F92" s="155"/>
      <c r="G92" s="155"/>
      <c r="H92" s="155"/>
      <c r="I92" s="157"/>
      <c r="J92" s="157"/>
      <c r="K92" s="159"/>
      <c r="L92" s="160"/>
      <c r="M92" s="415"/>
    </row>
    <row r="93" spans="1:13">
      <c r="A93" s="548" t="s">
        <v>162</v>
      </c>
      <c r="B93" s="549"/>
      <c r="C93" s="549"/>
      <c r="D93" s="549"/>
      <c r="E93" s="549"/>
      <c r="F93" s="549"/>
      <c r="G93" s="549"/>
      <c r="H93" s="161"/>
      <c r="I93" s="156">
        <f>'Tax Old Regime'!Q5</f>
        <v>0</v>
      </c>
      <c r="J93" s="157"/>
      <c r="K93" s="159"/>
      <c r="L93" s="160"/>
      <c r="M93" s="415"/>
    </row>
    <row r="94" spans="1:13">
      <c r="A94" s="548" t="s">
        <v>163</v>
      </c>
      <c r="B94" s="549"/>
      <c r="C94" s="549"/>
      <c r="D94" s="549"/>
      <c r="E94" s="549"/>
      <c r="F94" s="549"/>
      <c r="G94" s="549"/>
      <c r="H94" s="161"/>
      <c r="I94" s="156"/>
      <c r="J94" s="157"/>
      <c r="K94" s="159"/>
      <c r="L94" s="160"/>
      <c r="M94" s="415"/>
    </row>
    <row r="95" spans="1:13">
      <c r="A95" s="153" t="s">
        <v>164</v>
      </c>
      <c r="B95" s="155"/>
      <c r="C95" s="155"/>
      <c r="D95" s="155"/>
      <c r="E95" s="155"/>
      <c r="F95" s="155"/>
      <c r="G95" s="155"/>
      <c r="H95" s="155"/>
      <c r="I95" s="157"/>
      <c r="J95" s="546">
        <f>J90-I93-I94</f>
        <v>771355</v>
      </c>
      <c r="K95" s="547"/>
      <c r="L95" s="160"/>
      <c r="M95" s="415"/>
    </row>
    <row r="96" spans="1:13">
      <c r="A96" s="157"/>
      <c r="B96" s="155"/>
      <c r="C96" s="155"/>
      <c r="D96" s="155"/>
      <c r="E96" s="155"/>
      <c r="F96" s="155"/>
      <c r="G96" s="155"/>
      <c r="H96" s="155"/>
      <c r="I96" s="157"/>
      <c r="J96" s="157"/>
      <c r="K96" s="159"/>
      <c r="L96" s="160"/>
      <c r="M96" s="415"/>
    </row>
    <row r="97" spans="1:13">
      <c r="A97" s="153" t="s">
        <v>165</v>
      </c>
      <c r="B97" s="155"/>
      <c r="C97" s="155"/>
      <c r="D97" s="155"/>
      <c r="E97" s="155"/>
      <c r="F97" s="155"/>
      <c r="G97" s="155"/>
      <c r="H97" s="155"/>
      <c r="I97" s="157"/>
      <c r="J97" s="157"/>
      <c r="K97" s="159"/>
      <c r="L97" s="160"/>
      <c r="M97" s="415"/>
    </row>
    <row r="98" spans="1:13">
      <c r="A98" s="157"/>
      <c r="B98" s="158" t="s">
        <v>166</v>
      </c>
      <c r="C98" s="158"/>
      <c r="D98" s="158"/>
      <c r="E98" s="158"/>
      <c r="F98" s="158" t="s">
        <v>167</v>
      </c>
      <c r="G98" s="162">
        <v>50000</v>
      </c>
      <c r="H98" s="163"/>
      <c r="I98" s="157"/>
      <c r="J98" s="157"/>
      <c r="K98" s="159"/>
      <c r="L98" s="160"/>
      <c r="M98" s="415"/>
    </row>
    <row r="99" spans="1:13">
      <c r="A99" s="157"/>
      <c r="B99" s="158" t="s">
        <v>168</v>
      </c>
      <c r="C99" s="158"/>
      <c r="D99" s="158"/>
      <c r="E99" s="158"/>
      <c r="F99" s="158" t="s">
        <v>167</v>
      </c>
      <c r="G99" s="158">
        <v>0</v>
      </c>
      <c r="H99" s="158"/>
      <c r="I99" s="157"/>
      <c r="J99" s="157"/>
      <c r="K99" s="159"/>
      <c r="L99" s="160"/>
      <c r="M99" s="415"/>
    </row>
    <row r="100" spans="1:13">
      <c r="A100" s="157"/>
      <c r="B100" s="158" t="s">
        <v>169</v>
      </c>
      <c r="C100" s="158"/>
      <c r="D100" s="158"/>
      <c r="E100" s="158"/>
      <c r="F100" s="158" t="s">
        <v>167</v>
      </c>
      <c r="G100" s="158">
        <v>0</v>
      </c>
      <c r="H100" s="158"/>
      <c r="I100" s="157"/>
      <c r="J100" s="157"/>
      <c r="K100" s="159"/>
      <c r="L100" s="160"/>
      <c r="M100" s="415"/>
    </row>
    <row r="101" spans="1:13">
      <c r="A101" s="153" t="s">
        <v>170</v>
      </c>
      <c r="B101" s="155"/>
      <c r="C101" s="155"/>
      <c r="D101" s="155"/>
      <c r="E101" s="155"/>
      <c r="F101" s="155"/>
      <c r="G101" s="155"/>
      <c r="H101" s="155"/>
      <c r="I101" s="164">
        <v>50000</v>
      </c>
      <c r="J101" s="157"/>
      <c r="K101" s="159"/>
      <c r="L101" s="160"/>
      <c r="M101" s="415"/>
    </row>
    <row r="102" spans="1:13">
      <c r="A102" s="157"/>
      <c r="B102" s="155"/>
      <c r="C102" s="155"/>
      <c r="D102" s="155"/>
      <c r="E102" s="155"/>
      <c r="F102" s="155"/>
      <c r="G102" s="155"/>
      <c r="H102" s="155"/>
      <c r="I102" s="157"/>
      <c r="J102" s="157"/>
      <c r="K102" s="159"/>
      <c r="L102" s="160"/>
      <c r="M102" s="415"/>
    </row>
    <row r="103" spans="1:13">
      <c r="A103" s="153" t="s">
        <v>171</v>
      </c>
      <c r="B103" s="155"/>
      <c r="C103" s="155"/>
      <c r="D103" s="155"/>
      <c r="E103" s="155"/>
      <c r="F103" s="155"/>
      <c r="G103" s="155"/>
      <c r="H103" s="155"/>
      <c r="I103" s="157"/>
      <c r="J103" s="157"/>
      <c r="K103" s="159"/>
      <c r="L103" s="165">
        <f>IF(AND((J95&gt;50000)),(J95-I101),0)</f>
        <v>721355</v>
      </c>
      <c r="M103" s="415"/>
    </row>
    <row r="104" spans="1:13">
      <c r="A104" s="153"/>
      <c r="B104" s="155"/>
      <c r="C104" s="155"/>
      <c r="D104" s="155"/>
      <c r="E104" s="155"/>
      <c r="F104" s="155"/>
      <c r="G104" s="155"/>
      <c r="H104" s="155"/>
      <c r="I104" s="157"/>
      <c r="J104" s="157"/>
      <c r="K104" s="159"/>
      <c r="L104" s="166"/>
      <c r="M104" s="415"/>
    </row>
    <row r="105" spans="1:13">
      <c r="A105" s="153" t="s">
        <v>172</v>
      </c>
      <c r="B105" s="155"/>
      <c r="C105" s="155"/>
      <c r="D105" s="155"/>
      <c r="E105" s="155"/>
      <c r="F105" s="155"/>
      <c r="G105" s="155"/>
      <c r="H105" s="155"/>
      <c r="I105" s="157"/>
      <c r="J105" s="157"/>
      <c r="K105" s="159"/>
      <c r="L105" s="166"/>
      <c r="M105" s="415"/>
    </row>
    <row r="106" spans="1:13">
      <c r="A106" s="153"/>
      <c r="B106" s="155" t="s">
        <v>173</v>
      </c>
      <c r="C106" s="155"/>
      <c r="D106" s="155"/>
      <c r="E106" s="155"/>
      <c r="F106" s="155"/>
      <c r="G106" s="155"/>
      <c r="H106" s="155"/>
      <c r="I106" s="157"/>
      <c r="J106" s="157"/>
      <c r="K106" s="159"/>
      <c r="L106" s="166">
        <f>'[1]Other Deduction'!B9</f>
        <v>0</v>
      </c>
      <c r="M106" s="415"/>
    </row>
    <row r="107" spans="1:13">
      <c r="A107" s="153"/>
      <c r="B107" s="155"/>
      <c r="C107" s="155"/>
      <c r="D107" s="155"/>
      <c r="E107" s="155"/>
      <c r="F107" s="155"/>
      <c r="G107" s="155"/>
      <c r="H107" s="155"/>
      <c r="I107" s="157"/>
      <c r="J107" s="157"/>
      <c r="K107" s="159"/>
      <c r="L107" s="166"/>
      <c r="M107" s="415"/>
    </row>
    <row r="108" spans="1:13">
      <c r="A108" s="153" t="s">
        <v>174</v>
      </c>
      <c r="B108" s="155"/>
      <c r="C108" s="155"/>
      <c r="D108" s="155"/>
      <c r="E108" s="155"/>
      <c r="F108" s="155"/>
      <c r="G108" s="155"/>
      <c r="H108" s="155"/>
      <c r="I108" s="157"/>
      <c r="J108" s="164"/>
      <c r="K108" s="159"/>
      <c r="L108" s="167">
        <f>L103+L105-L106</f>
        <v>721355</v>
      </c>
      <c r="M108" s="415"/>
    </row>
    <row r="109" spans="1:13">
      <c r="A109" s="168"/>
      <c r="B109" s="169"/>
      <c r="C109" s="169"/>
      <c r="D109" s="169"/>
      <c r="E109" s="169"/>
      <c r="F109" s="169"/>
      <c r="G109" s="550" t="s">
        <v>175</v>
      </c>
      <c r="H109" s="551"/>
      <c r="I109" s="550" t="s">
        <v>176</v>
      </c>
      <c r="J109" s="551"/>
      <c r="K109" s="554" t="s">
        <v>177</v>
      </c>
      <c r="L109" s="554"/>
      <c r="M109" s="415"/>
    </row>
    <row r="110" spans="1:13">
      <c r="A110" s="555" t="s">
        <v>178</v>
      </c>
      <c r="B110" s="556"/>
      <c r="C110" s="556"/>
      <c r="D110" s="556"/>
      <c r="E110" s="155"/>
      <c r="F110" s="159"/>
      <c r="G110" s="552"/>
      <c r="H110" s="553"/>
      <c r="I110" s="552"/>
      <c r="J110" s="553"/>
      <c r="K110" s="554"/>
      <c r="L110" s="554"/>
      <c r="M110" s="415"/>
    </row>
    <row r="111" spans="1:13">
      <c r="A111" s="170" t="s">
        <v>179</v>
      </c>
      <c r="B111" s="161" t="s">
        <v>180</v>
      </c>
      <c r="C111" s="161"/>
      <c r="D111" s="155"/>
      <c r="E111" s="155"/>
      <c r="F111" s="171"/>
      <c r="G111" s="552"/>
      <c r="H111" s="553"/>
      <c r="I111" s="552"/>
      <c r="J111" s="553"/>
      <c r="K111" s="554"/>
      <c r="L111" s="554"/>
      <c r="M111" s="415"/>
    </row>
    <row r="112" spans="1:13">
      <c r="A112" s="172" t="s">
        <v>181</v>
      </c>
      <c r="B112" s="155" t="s">
        <v>182</v>
      </c>
      <c r="C112" s="155"/>
      <c r="D112" s="155"/>
      <c r="E112" s="155"/>
      <c r="F112" s="159"/>
      <c r="G112" s="546"/>
      <c r="H112" s="547"/>
      <c r="I112" s="546"/>
      <c r="J112" s="547"/>
      <c r="K112" s="546"/>
      <c r="L112" s="547"/>
      <c r="M112" s="415"/>
    </row>
    <row r="113" spans="1:13">
      <c r="A113" s="172"/>
      <c r="B113" s="173" t="s">
        <v>20</v>
      </c>
      <c r="C113" s="564" t="s">
        <v>183</v>
      </c>
      <c r="D113" s="564"/>
      <c r="E113" s="564"/>
      <c r="F113" s="174" t="s">
        <v>167</v>
      </c>
      <c r="G113" s="565">
        <f>'GA-55'!O31</f>
        <v>46978</v>
      </c>
      <c r="H113" s="565"/>
      <c r="I113" s="565">
        <f t="shared" ref="I113:I120" si="0">G113</f>
        <v>46978</v>
      </c>
      <c r="J113" s="565"/>
      <c r="K113" s="565">
        <f t="shared" ref="K113:K120" si="1">I113</f>
        <v>46978</v>
      </c>
      <c r="L113" s="565"/>
      <c r="M113" s="415"/>
    </row>
    <row r="114" spans="1:13">
      <c r="A114" s="172"/>
      <c r="B114" s="173" t="s">
        <v>22</v>
      </c>
      <c r="C114" s="564" t="s">
        <v>184</v>
      </c>
      <c r="D114" s="564"/>
      <c r="E114" s="564"/>
      <c r="F114" s="174" t="s">
        <v>167</v>
      </c>
      <c r="G114" s="565">
        <f>'Tax Old Regime'!I21</f>
        <v>36000</v>
      </c>
      <c r="H114" s="565"/>
      <c r="I114" s="565">
        <f t="shared" si="0"/>
        <v>36000</v>
      </c>
      <c r="J114" s="565"/>
      <c r="K114" s="565">
        <f t="shared" si="1"/>
        <v>36000</v>
      </c>
      <c r="L114" s="565"/>
      <c r="M114" s="415"/>
    </row>
    <row r="115" spans="1:13">
      <c r="A115" s="172"/>
      <c r="B115" s="173" t="s">
        <v>24</v>
      </c>
      <c r="C115" s="564" t="s">
        <v>6</v>
      </c>
      <c r="D115" s="564"/>
      <c r="E115" s="564"/>
      <c r="F115" s="174" t="s">
        <v>167</v>
      </c>
      <c r="G115" s="565"/>
      <c r="H115" s="565"/>
      <c r="I115" s="565">
        <f t="shared" si="0"/>
        <v>0</v>
      </c>
      <c r="J115" s="565"/>
      <c r="K115" s="565">
        <f t="shared" si="1"/>
        <v>0</v>
      </c>
      <c r="L115" s="565"/>
      <c r="M115" s="415"/>
    </row>
    <row r="116" spans="1:13">
      <c r="A116" s="172"/>
      <c r="B116" s="173" t="s">
        <v>26</v>
      </c>
      <c r="C116" s="564" t="s">
        <v>185</v>
      </c>
      <c r="D116" s="564"/>
      <c r="E116" s="564"/>
      <c r="F116" s="174" t="s">
        <v>167</v>
      </c>
      <c r="G116" s="565">
        <f>'Tax Old Regime'!I27</f>
        <v>0</v>
      </c>
      <c r="H116" s="565"/>
      <c r="I116" s="565">
        <f t="shared" si="0"/>
        <v>0</v>
      </c>
      <c r="J116" s="565"/>
      <c r="K116" s="565">
        <f t="shared" si="1"/>
        <v>0</v>
      </c>
      <c r="L116" s="565"/>
      <c r="M116" s="415"/>
    </row>
    <row r="117" spans="1:13">
      <c r="A117" s="172"/>
      <c r="B117" s="173" t="s">
        <v>30</v>
      </c>
      <c r="C117" s="175" t="s">
        <v>186</v>
      </c>
      <c r="D117" s="175"/>
      <c r="E117" s="175"/>
      <c r="F117" s="174" t="s">
        <v>167</v>
      </c>
      <c r="G117" s="565">
        <f>'Tax Old Regime'!I29</f>
        <v>0</v>
      </c>
      <c r="H117" s="565"/>
      <c r="I117" s="565">
        <f t="shared" si="0"/>
        <v>0</v>
      </c>
      <c r="J117" s="565"/>
      <c r="K117" s="484">
        <f t="shared" si="1"/>
        <v>0</v>
      </c>
      <c r="L117" s="485"/>
      <c r="M117" s="415"/>
    </row>
    <row r="118" spans="1:13">
      <c r="A118" s="172"/>
      <c r="B118" s="173" t="s">
        <v>32</v>
      </c>
      <c r="C118" s="564" t="s">
        <v>187</v>
      </c>
      <c r="D118" s="564"/>
      <c r="E118" s="564"/>
      <c r="F118" s="174" t="s">
        <v>167</v>
      </c>
      <c r="G118" s="565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149218</v>
      </c>
      <c r="H118" s="565"/>
      <c r="I118" s="565">
        <f t="shared" si="0"/>
        <v>149218</v>
      </c>
      <c r="J118" s="565"/>
      <c r="K118" s="565">
        <f t="shared" si="1"/>
        <v>149218</v>
      </c>
      <c r="L118" s="565"/>
      <c r="M118" s="415"/>
    </row>
    <row r="119" spans="1:13">
      <c r="A119" s="172" t="s">
        <v>188</v>
      </c>
      <c r="B119" s="173" t="s">
        <v>189</v>
      </c>
      <c r="C119" s="173"/>
      <c r="D119" s="173"/>
      <c r="E119" s="173"/>
      <c r="F119" s="174" t="s">
        <v>167</v>
      </c>
      <c r="G119" s="565"/>
      <c r="H119" s="565"/>
      <c r="I119" s="565">
        <f t="shared" si="0"/>
        <v>0</v>
      </c>
      <c r="J119" s="565"/>
      <c r="K119" s="565">
        <f t="shared" si="1"/>
        <v>0</v>
      </c>
      <c r="L119" s="565"/>
      <c r="M119" s="415"/>
    </row>
    <row r="120" spans="1:13">
      <c r="A120" s="172" t="s">
        <v>190</v>
      </c>
      <c r="B120" s="173" t="s">
        <v>191</v>
      </c>
      <c r="C120" s="173"/>
      <c r="D120" s="173"/>
      <c r="E120" s="173"/>
      <c r="F120" s="174" t="s">
        <v>167</v>
      </c>
      <c r="G120" s="565"/>
      <c r="H120" s="565"/>
      <c r="I120" s="565">
        <f t="shared" si="0"/>
        <v>0</v>
      </c>
      <c r="J120" s="565"/>
      <c r="K120" s="565">
        <f t="shared" si="1"/>
        <v>0</v>
      </c>
      <c r="L120" s="565"/>
      <c r="M120" s="415"/>
    </row>
    <row r="121" spans="1:13" ht="20.25" customHeight="1" thickBot="1">
      <c r="A121" s="153" t="s">
        <v>192</v>
      </c>
      <c r="B121" s="173"/>
      <c r="C121" s="173"/>
      <c r="D121" s="173"/>
      <c r="E121" s="173"/>
      <c r="F121" s="173"/>
      <c r="G121" s="566">
        <f>SUM(G113:G120)</f>
        <v>232196</v>
      </c>
      <c r="H121" s="567"/>
      <c r="I121" s="566">
        <f>SUM(I113:I120)</f>
        <v>232196</v>
      </c>
      <c r="J121" s="568"/>
      <c r="K121" s="569">
        <f>IF(SUM(K113:L118)&gt;150000,150000,SUM(K113:L118))</f>
        <v>150000</v>
      </c>
      <c r="L121" s="570"/>
      <c r="M121" s="415"/>
    </row>
    <row r="122" spans="1:13">
      <c r="A122" s="153" t="s">
        <v>193</v>
      </c>
      <c r="B122" s="155"/>
      <c r="C122" s="155"/>
      <c r="D122" s="155"/>
      <c r="E122" s="155"/>
      <c r="F122" s="159"/>
      <c r="G122" s="176"/>
      <c r="H122" s="177"/>
      <c r="I122" s="178"/>
      <c r="J122" s="177"/>
      <c r="K122" s="178"/>
      <c r="L122" s="159"/>
      <c r="M122" s="415"/>
    </row>
    <row r="123" spans="1:13">
      <c r="A123" s="153"/>
      <c r="B123" s="155"/>
      <c r="C123" s="155"/>
      <c r="D123" s="155"/>
      <c r="E123" s="155"/>
      <c r="F123" s="159"/>
      <c r="G123" s="176"/>
      <c r="H123" s="177"/>
      <c r="I123" s="178"/>
      <c r="J123" s="177"/>
      <c r="K123" s="178"/>
      <c r="L123" s="159"/>
      <c r="M123" s="415"/>
    </row>
    <row r="124" spans="1:13">
      <c r="A124" s="179" t="s">
        <v>194</v>
      </c>
      <c r="B124" s="180" t="s">
        <v>195</v>
      </c>
      <c r="C124" s="180"/>
      <c r="D124" s="180"/>
      <c r="E124" s="180"/>
      <c r="F124" s="181" t="s">
        <v>167</v>
      </c>
      <c r="G124" s="571">
        <v>0</v>
      </c>
      <c r="H124" s="571"/>
      <c r="I124" s="571">
        <f>G124</f>
        <v>0</v>
      </c>
      <c r="J124" s="571"/>
      <c r="K124" s="571">
        <f>I124</f>
        <v>0</v>
      </c>
      <c r="L124" s="571"/>
      <c r="M124" s="415"/>
    </row>
    <row r="125" spans="1:13">
      <c r="A125" s="179" t="s">
        <v>196</v>
      </c>
      <c r="B125" s="180" t="s">
        <v>197</v>
      </c>
      <c r="C125" s="180"/>
      <c r="D125" s="180"/>
      <c r="E125" s="180"/>
      <c r="F125" s="181" t="s">
        <v>167</v>
      </c>
      <c r="G125" s="571">
        <f>'[1]Tax Old Regime'!Q33</f>
        <v>0</v>
      </c>
      <c r="H125" s="571"/>
      <c r="I125" s="571">
        <f>G125</f>
        <v>0</v>
      </c>
      <c r="J125" s="571"/>
      <c r="K125" s="571">
        <f>I125</f>
        <v>0</v>
      </c>
      <c r="L125" s="571"/>
      <c r="M125" s="415"/>
    </row>
    <row r="126" spans="1:13">
      <c r="A126" s="182"/>
      <c r="B126" s="183"/>
      <c r="C126" s="183"/>
      <c r="D126" s="183"/>
      <c r="E126" s="183"/>
      <c r="F126" s="183"/>
      <c r="G126" s="128"/>
      <c r="H126" s="128"/>
      <c r="I126" s="128"/>
      <c r="J126" s="128"/>
      <c r="K126" s="184"/>
      <c r="L126" s="177"/>
      <c r="M126" s="415"/>
    </row>
    <row r="127" spans="1:13">
      <c r="A127" s="185" t="s">
        <v>198</v>
      </c>
      <c r="B127" s="155" t="s">
        <v>199</v>
      </c>
      <c r="C127" s="155"/>
      <c r="D127" s="155"/>
      <c r="E127" s="155"/>
      <c r="F127" s="155"/>
      <c r="G127" s="176"/>
      <c r="H127" s="178"/>
      <c r="I127" s="176"/>
      <c r="J127" s="186"/>
      <c r="K127" s="178"/>
      <c r="L127" s="186"/>
      <c r="M127" s="415"/>
    </row>
    <row r="128" spans="1:13" ht="20.45" customHeight="1">
      <c r="A128" s="170"/>
      <c r="B128" s="155"/>
      <c r="C128" s="155"/>
      <c r="D128" s="155"/>
      <c r="E128" s="155"/>
      <c r="F128" s="155"/>
      <c r="G128" s="187" t="s">
        <v>175</v>
      </c>
      <c r="H128" s="188"/>
      <c r="I128" s="575" t="s">
        <v>176</v>
      </c>
      <c r="J128" s="576"/>
      <c r="K128" s="575" t="s">
        <v>177</v>
      </c>
      <c r="L128" s="576"/>
      <c r="M128" s="415"/>
    </row>
    <row r="129" spans="1:13" ht="15">
      <c r="A129" s="170"/>
      <c r="B129" s="155" t="s">
        <v>20</v>
      </c>
      <c r="C129" s="577" t="s">
        <v>264</v>
      </c>
      <c r="D129" s="577"/>
      <c r="E129" s="577"/>
      <c r="F129" s="173" t="s">
        <v>167</v>
      </c>
      <c r="G129" s="573"/>
      <c r="H129" s="574"/>
      <c r="I129" s="573">
        <f>G129</f>
        <v>0</v>
      </c>
      <c r="J129" s="574"/>
      <c r="K129" s="573">
        <f>I129</f>
        <v>0</v>
      </c>
      <c r="L129" s="574"/>
      <c r="M129" s="415"/>
    </row>
    <row r="130" spans="1:13">
      <c r="A130" s="170"/>
      <c r="B130" s="155" t="s">
        <v>22</v>
      </c>
      <c r="C130" s="572"/>
      <c r="D130" s="572"/>
      <c r="E130" s="572"/>
      <c r="F130" s="173" t="s">
        <v>167</v>
      </c>
      <c r="G130" s="573"/>
      <c r="H130" s="574"/>
      <c r="I130" s="573">
        <f>G130</f>
        <v>0</v>
      </c>
      <c r="J130" s="574"/>
      <c r="K130" s="573">
        <f>I130</f>
        <v>0</v>
      </c>
      <c r="L130" s="574"/>
      <c r="M130" s="415"/>
    </row>
    <row r="131" spans="1:13">
      <c r="A131" s="170"/>
      <c r="B131" s="155" t="s">
        <v>24</v>
      </c>
      <c r="C131" s="572"/>
      <c r="D131" s="572"/>
      <c r="E131" s="572"/>
      <c r="F131" s="173" t="s">
        <v>167</v>
      </c>
      <c r="G131" s="573"/>
      <c r="H131" s="574"/>
      <c r="I131" s="573">
        <f>G131</f>
        <v>0</v>
      </c>
      <c r="J131" s="574"/>
      <c r="K131" s="573">
        <f>I131</f>
        <v>0</v>
      </c>
      <c r="L131" s="574"/>
      <c r="M131" s="415"/>
    </row>
    <row r="132" spans="1:13">
      <c r="A132" s="189" t="s">
        <v>200</v>
      </c>
      <c r="B132" s="155"/>
      <c r="C132" s="155"/>
      <c r="D132" s="155"/>
      <c r="E132" s="155"/>
      <c r="F132" s="159"/>
      <c r="G132" s="546"/>
      <c r="H132" s="547"/>
      <c r="I132" s="546"/>
      <c r="J132" s="547"/>
      <c r="K132" s="546">
        <f>K121+K124+K125+K129+K130+K131</f>
        <v>150000</v>
      </c>
      <c r="L132" s="547">
        <v>0</v>
      </c>
      <c r="M132" s="415"/>
    </row>
    <row r="133" spans="1:13">
      <c r="A133" s="153"/>
      <c r="B133" s="155"/>
      <c r="C133" s="155"/>
      <c r="D133" s="155"/>
      <c r="E133" s="155"/>
      <c r="F133" s="159"/>
      <c r="G133" s="157"/>
      <c r="H133" s="159"/>
      <c r="I133" s="157"/>
      <c r="J133" s="159"/>
      <c r="K133" s="546"/>
      <c r="L133" s="547"/>
      <c r="M133" s="415"/>
    </row>
    <row r="134" spans="1:13" ht="15.75">
      <c r="A134" s="153" t="s">
        <v>201</v>
      </c>
      <c r="B134" s="155"/>
      <c r="C134" s="155"/>
      <c r="D134" s="155"/>
      <c r="E134" s="155"/>
      <c r="F134" s="159"/>
      <c r="G134" s="157"/>
      <c r="H134" s="159"/>
      <c r="I134" s="157"/>
      <c r="J134" s="159"/>
      <c r="K134" s="578">
        <f>'Tax Old Regime'!Q47</f>
        <v>572140</v>
      </c>
      <c r="L134" s="579"/>
      <c r="M134" s="415"/>
    </row>
    <row r="135" spans="1:13">
      <c r="A135" s="153"/>
      <c r="B135" s="155"/>
      <c r="C135" s="155"/>
      <c r="D135" s="155"/>
      <c r="E135" s="155"/>
      <c r="F135" s="159"/>
      <c r="G135" s="157"/>
      <c r="H135" s="159"/>
      <c r="I135" s="157"/>
      <c r="J135" s="159"/>
      <c r="K135" s="155"/>
      <c r="L135" s="177"/>
      <c r="M135" s="415"/>
    </row>
    <row r="136" spans="1:13" ht="14.45" customHeight="1">
      <c r="A136" s="190" t="s">
        <v>202</v>
      </c>
      <c r="B136" s="155"/>
      <c r="C136" s="155"/>
      <c r="D136" s="155"/>
      <c r="E136" s="155"/>
      <c r="F136" s="159"/>
      <c r="G136" s="157"/>
      <c r="H136" s="159"/>
      <c r="I136" s="157"/>
      <c r="J136" s="159"/>
      <c r="K136" s="555">
        <f>'Tax Old Regime'!Q54</f>
        <v>26928</v>
      </c>
      <c r="L136" s="580"/>
      <c r="M136" s="415"/>
    </row>
    <row r="137" spans="1:13">
      <c r="A137" s="191" t="s">
        <v>203</v>
      </c>
      <c r="B137" s="155"/>
      <c r="C137" s="155"/>
      <c r="D137" s="161"/>
      <c r="E137" s="161"/>
      <c r="F137" s="161"/>
      <c r="G137" s="192"/>
      <c r="H137" s="193"/>
      <c r="I137" s="155"/>
      <c r="J137" s="159"/>
      <c r="K137" s="546">
        <f>'[1]Tax Old Regime'!Q55</f>
        <v>0</v>
      </c>
      <c r="L137" s="547"/>
      <c r="M137" s="415"/>
    </row>
    <row r="138" spans="1:13">
      <c r="A138" s="153" t="s">
        <v>204</v>
      </c>
      <c r="B138" s="155"/>
      <c r="C138" s="155"/>
      <c r="D138" s="155"/>
      <c r="E138" s="155"/>
      <c r="F138" s="155"/>
      <c r="G138" s="157"/>
      <c r="H138" s="159"/>
      <c r="I138" s="155"/>
      <c r="J138" s="159"/>
      <c r="K138" s="546">
        <f>K136-K137</f>
        <v>26928</v>
      </c>
      <c r="L138" s="547"/>
      <c r="M138" s="415"/>
    </row>
    <row r="139" spans="1:13">
      <c r="A139" s="153" t="s">
        <v>205</v>
      </c>
      <c r="B139" s="155"/>
      <c r="C139" s="155"/>
      <c r="D139" s="155"/>
      <c r="E139" s="155"/>
      <c r="F139" s="155"/>
      <c r="G139" s="157"/>
      <c r="H139" s="159"/>
      <c r="I139" s="155"/>
      <c r="J139" s="159"/>
      <c r="K139" s="546">
        <f>'Tax Old Regime'!Q57</f>
        <v>1077</v>
      </c>
      <c r="L139" s="547"/>
      <c r="M139" s="415"/>
    </row>
    <row r="140" spans="1:13">
      <c r="A140" s="153" t="s">
        <v>206</v>
      </c>
      <c r="B140" s="155"/>
      <c r="C140" s="155"/>
      <c r="D140" s="155"/>
      <c r="E140" s="155"/>
      <c r="F140" s="155"/>
      <c r="G140" s="157"/>
      <c r="H140" s="159"/>
      <c r="I140" s="155"/>
      <c r="J140" s="159"/>
      <c r="K140" s="546">
        <f>'Tax Old Regime'!Q58</f>
        <v>28005</v>
      </c>
      <c r="L140" s="547"/>
      <c r="M140" s="415"/>
    </row>
    <row r="141" spans="1:13">
      <c r="A141" s="153" t="s">
        <v>207</v>
      </c>
      <c r="B141" s="155"/>
      <c r="C141" s="155"/>
      <c r="D141" s="155"/>
      <c r="E141" s="155"/>
      <c r="F141" s="155"/>
      <c r="G141" s="157"/>
      <c r="H141" s="159"/>
      <c r="I141" s="155"/>
      <c r="J141" s="159"/>
      <c r="K141" s="546">
        <f>'Other Deduction'!E17</f>
        <v>0</v>
      </c>
      <c r="L141" s="547"/>
      <c r="M141" s="415"/>
    </row>
    <row r="142" spans="1:13">
      <c r="A142" s="153" t="s">
        <v>208</v>
      </c>
      <c r="B142" s="155"/>
      <c r="C142" s="155"/>
      <c r="D142" s="155"/>
      <c r="E142" s="155"/>
      <c r="F142" s="155"/>
      <c r="G142" s="157"/>
      <c r="H142" s="159"/>
      <c r="I142" s="155"/>
      <c r="J142" s="159"/>
      <c r="K142" s="546">
        <f>'Tax Old Regime'!Q60</f>
        <v>28005</v>
      </c>
      <c r="L142" s="547"/>
      <c r="M142" s="415"/>
    </row>
    <row r="143" spans="1:13">
      <c r="A143" s="153" t="s">
        <v>209</v>
      </c>
      <c r="B143" s="155"/>
      <c r="C143" s="155"/>
      <c r="D143" s="155"/>
      <c r="E143" s="155"/>
      <c r="F143" s="155"/>
      <c r="G143" s="157"/>
      <c r="H143" s="159"/>
      <c r="I143" s="155"/>
      <c r="J143" s="159"/>
      <c r="K143" s="546">
        <f>H22+B61</f>
        <v>0</v>
      </c>
      <c r="L143" s="547"/>
      <c r="M143" s="415"/>
    </row>
    <row r="144" spans="1:13">
      <c r="A144" s="153" t="s">
        <v>210</v>
      </c>
      <c r="B144" s="155"/>
      <c r="C144" s="155"/>
      <c r="D144" s="155"/>
      <c r="E144" s="161"/>
      <c r="F144" s="161"/>
      <c r="G144" s="192"/>
      <c r="H144" s="193"/>
      <c r="I144" s="155"/>
      <c r="J144" s="181"/>
      <c r="K144" s="590">
        <f>K142-K143</f>
        <v>28005</v>
      </c>
      <c r="L144" s="591"/>
      <c r="M144" s="415"/>
    </row>
    <row r="145" spans="1:13">
      <c r="A145" s="526" t="s">
        <v>132</v>
      </c>
      <c r="B145" s="527"/>
      <c r="C145" s="527"/>
      <c r="D145" s="527"/>
      <c r="E145" s="527"/>
      <c r="F145" s="527"/>
      <c r="G145" s="527"/>
      <c r="H145" s="527"/>
      <c r="I145" s="527"/>
      <c r="J145" s="527"/>
      <c r="K145" s="527"/>
      <c r="L145" s="592"/>
      <c r="M145" s="415"/>
    </row>
    <row r="146" spans="1:13">
      <c r="A146" s="133" t="s">
        <v>133</v>
      </c>
      <c r="B146" s="507" t="str">
        <f>B63</f>
        <v>HANUMAN SAHAY REGAR</v>
      </c>
      <c r="C146" s="507"/>
      <c r="D146" s="507"/>
      <c r="E146" s="134" t="s">
        <v>134</v>
      </c>
      <c r="F146" s="135"/>
      <c r="G146" s="593" t="str">
        <f>G63</f>
        <v>Gulla Ram</v>
      </c>
      <c r="H146" s="594"/>
      <c r="I146" s="594"/>
      <c r="J146" s="134" t="s">
        <v>135</v>
      </c>
      <c r="K146" s="135"/>
      <c r="L146" s="136"/>
      <c r="M146" s="415"/>
    </row>
    <row r="147" spans="1:13">
      <c r="A147" s="533" t="str">
        <f>A64</f>
        <v>PRINCIPAL</v>
      </c>
      <c r="B147" s="534"/>
      <c r="C147" s="534"/>
      <c r="D147" s="137" t="s">
        <v>211</v>
      </c>
      <c r="E147" s="99"/>
      <c r="F147" s="138"/>
      <c r="G147" s="138"/>
      <c r="H147" s="138"/>
      <c r="I147" s="137"/>
      <c r="J147" s="194"/>
      <c r="K147" s="138"/>
      <c r="L147" s="195"/>
      <c r="M147" s="415"/>
    </row>
    <row r="148" spans="1:13">
      <c r="A148" s="538" t="s">
        <v>212</v>
      </c>
      <c r="B148" s="539"/>
      <c r="C148" s="539"/>
      <c r="D148" s="539"/>
      <c r="E148" s="539"/>
      <c r="F148" s="539"/>
      <c r="G148" s="539"/>
      <c r="H148" s="539"/>
      <c r="I148" s="539"/>
      <c r="J148" s="539"/>
      <c r="K148" s="539"/>
      <c r="L148" s="540"/>
      <c r="M148" s="415"/>
    </row>
    <row r="149" spans="1:13">
      <c r="A149" s="196"/>
      <c r="B149" s="197"/>
      <c r="C149" s="197"/>
      <c r="D149" s="197"/>
      <c r="E149" s="197"/>
      <c r="F149" s="197"/>
      <c r="G149" s="197"/>
      <c r="H149" s="197"/>
      <c r="I149" s="197"/>
      <c r="J149" s="197"/>
      <c r="K149" s="197"/>
      <c r="L149" s="198"/>
      <c r="M149" s="415"/>
    </row>
    <row r="150" spans="1:13">
      <c r="A150" s="157"/>
      <c r="B150" s="155"/>
      <c r="C150" s="155"/>
      <c r="D150" s="155"/>
      <c r="E150" s="155"/>
      <c r="F150" s="155"/>
      <c r="G150" s="155"/>
      <c r="H150" s="155"/>
      <c r="I150" s="155"/>
      <c r="J150" s="155"/>
      <c r="K150" s="155"/>
      <c r="L150" s="159"/>
      <c r="M150" s="415"/>
    </row>
    <row r="151" spans="1:13">
      <c r="A151" s="157"/>
      <c r="B151" s="155"/>
      <c r="C151" s="155"/>
      <c r="D151" s="155"/>
      <c r="E151" s="155"/>
      <c r="F151" s="155"/>
      <c r="G151" s="155"/>
      <c r="H151" s="155"/>
      <c r="I151" s="155"/>
      <c r="J151" s="155"/>
      <c r="K151" s="155"/>
      <c r="L151" s="159"/>
      <c r="M151" s="415"/>
    </row>
    <row r="152" spans="1:13">
      <c r="A152" s="157"/>
      <c r="B152" s="155"/>
      <c r="C152" s="155"/>
      <c r="D152" s="155"/>
      <c r="E152" s="155"/>
      <c r="F152" s="155"/>
      <c r="G152" s="99"/>
      <c r="H152" s="99"/>
      <c r="I152" s="190"/>
      <c r="J152" s="155"/>
      <c r="K152" s="155"/>
      <c r="L152" s="159"/>
      <c r="M152" s="415"/>
    </row>
    <row r="153" spans="1:13">
      <c r="A153" s="157"/>
      <c r="B153" s="155"/>
      <c r="C153" s="155"/>
      <c r="D153" s="155"/>
      <c r="E153" s="155"/>
      <c r="F153" s="584" t="s">
        <v>213</v>
      </c>
      <c r="G153" s="584"/>
      <c r="H153" s="584"/>
      <c r="I153" s="584"/>
      <c r="J153" s="584"/>
      <c r="K153" s="584"/>
      <c r="L153" s="547"/>
      <c r="M153" s="415"/>
    </row>
    <row r="154" spans="1:13">
      <c r="A154" s="157"/>
      <c r="B154" s="155"/>
      <c r="C154" s="155"/>
      <c r="D154" s="155"/>
      <c r="E154" s="155"/>
      <c r="F154" s="585"/>
      <c r="G154" s="585"/>
      <c r="H154" s="585"/>
      <c r="I154" s="585"/>
      <c r="J154" s="585"/>
      <c r="K154" s="585"/>
      <c r="L154" s="586"/>
      <c r="M154" s="415"/>
    </row>
    <row r="155" spans="1:13">
      <c r="A155" s="587" t="s">
        <v>214</v>
      </c>
      <c r="B155" s="588"/>
      <c r="C155" s="588"/>
      <c r="D155" s="173"/>
      <c r="E155" s="173"/>
      <c r="F155" s="199" t="s">
        <v>215</v>
      </c>
      <c r="G155" s="199"/>
      <c r="H155" s="589" t="str">
        <f>A7</f>
        <v>HANUMAN SAHAY REGAR</v>
      </c>
      <c r="I155" s="589"/>
      <c r="J155" s="589"/>
      <c r="K155" s="589"/>
      <c r="L155" s="574"/>
      <c r="M155" s="415"/>
    </row>
    <row r="156" spans="1:13">
      <c r="A156" s="587" t="s">
        <v>216</v>
      </c>
      <c r="B156" s="588"/>
      <c r="C156" s="588"/>
      <c r="D156" s="173"/>
      <c r="E156" s="173"/>
      <c r="F156" s="199" t="s">
        <v>217</v>
      </c>
      <c r="G156" s="199"/>
      <c r="H156" s="589" t="str">
        <f>A8</f>
        <v>PRINCIPAL</v>
      </c>
      <c r="I156" s="589"/>
      <c r="J156" s="589"/>
      <c r="K156" s="589"/>
      <c r="L156" s="574"/>
      <c r="M156" s="415"/>
    </row>
    <row r="157" spans="1:13">
      <c r="A157" s="200"/>
      <c r="B157" s="201"/>
      <c r="C157" s="201"/>
      <c r="D157" s="201"/>
      <c r="E157" s="201"/>
      <c r="F157" s="581"/>
      <c r="G157" s="582"/>
      <c r="H157" s="582"/>
      <c r="I157" s="582"/>
      <c r="J157" s="582"/>
      <c r="K157" s="582"/>
      <c r="L157" s="583"/>
      <c r="M157" s="415"/>
    </row>
    <row r="158" spans="1:13">
      <c r="A158" s="413"/>
      <c r="B158" s="413"/>
      <c r="C158" s="413"/>
      <c r="D158" s="413"/>
      <c r="E158" s="413"/>
      <c r="F158" s="413"/>
      <c r="G158" s="413"/>
      <c r="H158" s="413"/>
      <c r="I158" s="413"/>
      <c r="J158" s="413"/>
      <c r="K158" s="413"/>
      <c r="L158" s="414"/>
      <c r="M158" s="415"/>
    </row>
    <row r="159" spans="1:13" hidden="1"/>
    <row r="160" spans="1:13" hidden="1"/>
    <row r="161" hidden="1"/>
    <row r="162" hidden="1"/>
  </sheetData>
  <sheetProtection password="FC12" sheet="1" objects="1" scenarios="1"/>
  <mergeCells count="272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58:L158"/>
    <mergeCell ref="M1:M158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2024-01-06T09:54:11Z</cp:lastPrinted>
  <dcterms:created xsi:type="dcterms:W3CDTF">2013-12-06T08:14:36Z</dcterms:created>
  <dcterms:modified xsi:type="dcterms:W3CDTF">2024-01-11T07:09:15Z</dcterms:modified>
</cp:coreProperties>
</file>