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Master Data" sheetId="2" r:id="rId1"/>
    <sheet name="Other Deduction" sheetId="1" r:id="rId2"/>
    <sheet name="Tax Calculation (Old)" sheetId="3" r:id="rId3"/>
    <sheet name="Tax Calculation (New)" sheetId="8" r:id="rId4"/>
    <sheet name="HRA Receipt" sheetId="9" r:id="rId5"/>
  </sheets>
  <definedNames>
    <definedName name="_xlnm._FilterDatabase" localSheetId="0" hidden="1">'Master Data'!$A$8:$AF$34</definedName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All_India_Service">'Master Data'!$AI$10:$AI$13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L_1">'Master Data'!$AL$14:$AL$36</definedName>
    <definedName name="_xlnm.Print_Area" localSheetId="4">'HRA Receipt'!$A$1:$J$24</definedName>
    <definedName name="_xlnm.Print_Area" localSheetId="0">'Master Data'!$C$8:$AE$41</definedName>
    <definedName name="_xlnm.Print_Area" localSheetId="3">'Tax Calculation (New)'!$A$1:$R$69</definedName>
    <definedName name="_xlnm.Print_Area" localSheetId="2">'Tax Calculation (Old)'!$B$1:$Q$65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0" hidden="1">'Master Data'!$AF:$XFD</definedName>
    <definedName name="Z_01E6FF9C_BB30_4C32_9D09_6DB93F11503E_.wvu.Cols" localSheetId="1" hidden="1">'Other Deduction'!$G:$XFD</definedName>
    <definedName name="Z_01E6FF9C_BB30_4C32_9D09_6DB93F11503E_.wvu.Cols" localSheetId="2" hidden="1">'Tax Calculation (Old)'!$S:$XFD</definedName>
    <definedName name="Z_01E6FF9C_BB30_4C32_9D09_6DB93F11503E_.wvu.PrintArea" localSheetId="0" hidden="1">'Master Data'!$C$8:$AE$39</definedName>
    <definedName name="Z_01E6FF9C_BB30_4C32_9D09_6DB93F11503E_.wvu.PrintArea" localSheetId="2" hidden="1">'Tax Calculation (Old)'!$B$1:$Q$69</definedName>
    <definedName name="Z_01E6FF9C_BB30_4C32_9D09_6DB93F11503E_.wvu.Rows" localSheetId="0" hidden="1">'Master Data'!$952:$1048576,'Master Data'!$40:$951</definedName>
    <definedName name="Z_01E6FF9C_BB30_4C32_9D09_6DB93F11503E_.wvu.Rows" localSheetId="1" hidden="1">'Other Deduction'!$560:$1048576,'Other Deduction'!$22:$559</definedName>
    <definedName name="Z_01E6FF9C_BB30_4C32_9D09_6DB93F11503E_.wvu.Rows" localSheetId="2" hidden="1">'Tax Calculation (Old)'!$75:$1048576,'Tax Calculation (Old)'!$71:$74</definedName>
    <definedName name="Z_483AFC7C_A53B_4837_A853_31CBC6C9ED1B_.wvu.Cols" localSheetId="0" hidden="1">'Master Data'!$AF:$XFD</definedName>
    <definedName name="Z_483AFC7C_A53B_4837_A853_31CBC6C9ED1B_.wvu.Cols" localSheetId="1" hidden="1">'Other Deduction'!$G:$XFD</definedName>
    <definedName name="Z_483AFC7C_A53B_4837_A853_31CBC6C9ED1B_.wvu.Cols" localSheetId="2" hidden="1">'Tax Calculation (Old)'!$S:$XFD</definedName>
    <definedName name="Z_483AFC7C_A53B_4837_A853_31CBC6C9ED1B_.wvu.PrintArea" localSheetId="0" hidden="1">'Master Data'!$C$8:$AE$39</definedName>
    <definedName name="Z_483AFC7C_A53B_4837_A853_31CBC6C9ED1B_.wvu.PrintArea" localSheetId="2" hidden="1">'Tax Calculation (Old)'!$B$1:$Q$69</definedName>
    <definedName name="Z_483AFC7C_A53B_4837_A853_31CBC6C9ED1B_.wvu.Rows" localSheetId="0" hidden="1">'Master Data'!$952:$1048576,'Master Data'!$40:$951</definedName>
    <definedName name="Z_483AFC7C_A53B_4837_A853_31CBC6C9ED1B_.wvu.Rows" localSheetId="1" hidden="1">'Other Deduction'!$560:$1048576,'Other Deduction'!$22:$559</definedName>
    <definedName name="Z_483AFC7C_A53B_4837_A853_31CBC6C9ED1B_.wvu.Rows" localSheetId="2" hidden="1">'Tax Calculation (Old)'!$75:$1048576,'Tax Calculation (Old)'!$71:$74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Q33" i="3"/>
  <c r="A2" i="1"/>
  <c r="I13" i="2"/>
  <c r="J8" i="9"/>
  <c r="D29" i="2"/>
  <c r="P3" i="8"/>
  <c r="L3"/>
  <c r="P3" i="3"/>
  <c r="L3"/>
  <c r="C16" i="9" l="1"/>
  <c r="C9"/>
  <c r="G8"/>
  <c r="AA22" i="2" l="1"/>
  <c r="AA34" s="1"/>
  <c r="AB13"/>
  <c r="D13" l="1"/>
  <c r="H13" s="1"/>
  <c r="I20" i="8"/>
  <c r="I20" i="3"/>
  <c r="F34" i="2"/>
  <c r="G34"/>
  <c r="J34"/>
  <c r="L34"/>
  <c r="M34"/>
  <c r="P34"/>
  <c r="Q34"/>
  <c r="R34"/>
  <c r="S34"/>
  <c r="V34"/>
  <c r="W34"/>
  <c r="X34"/>
  <c r="T13"/>
  <c r="Q39" i="8"/>
  <c r="R15" i="2"/>
  <c r="D14"/>
  <c r="H14" s="1"/>
  <c r="T14" l="1"/>
  <c r="H25"/>
  <c r="H26"/>
  <c r="I14"/>
  <c r="Z29"/>
  <c r="Z34" s="1"/>
  <c r="I29" i="3" l="1"/>
  <c r="I29" i="8"/>
  <c r="O29" i="2"/>
  <c r="N29"/>
  <c r="K22" l="1"/>
  <c r="M15"/>
  <c r="O27"/>
  <c r="N27" l="1"/>
  <c r="AC28"/>
  <c r="AC29"/>
  <c r="AC30"/>
  <c r="AC31"/>
  <c r="AC32"/>
  <c r="O13"/>
  <c r="Q62" i="8"/>
  <c r="Q43"/>
  <c r="Q42"/>
  <c r="Q41"/>
  <c r="Q38"/>
  <c r="Q37"/>
  <c r="Q36"/>
  <c r="Q33"/>
  <c r="O28"/>
  <c r="O27"/>
  <c r="I27"/>
  <c r="O26"/>
  <c r="I26"/>
  <c r="O25"/>
  <c r="O24"/>
  <c r="I24"/>
  <c r="O23"/>
  <c r="I23"/>
  <c r="O22"/>
  <c r="I22"/>
  <c r="O21"/>
  <c r="Q16"/>
  <c r="K13"/>
  <c r="M11"/>
  <c r="M8"/>
  <c r="M7"/>
  <c r="E3"/>
  <c r="B1"/>
  <c r="AC27" i="2" l="1"/>
  <c r="E13" i="8"/>
  <c r="Q42" i="3"/>
  <c r="Q59"/>
  <c r="Q39"/>
  <c r="Q38"/>
  <c r="Q37"/>
  <c r="Q36"/>
  <c r="Q43"/>
  <c r="Q41"/>
  <c r="O25"/>
  <c r="O24"/>
  <c r="O21"/>
  <c r="N33" i="2"/>
  <c r="Y33" s="1"/>
  <c r="N30"/>
  <c r="Q16" i="3"/>
  <c r="M8"/>
  <c r="I26"/>
  <c r="AB33" i="2"/>
  <c r="J15"/>
  <c r="M13" i="8" l="1"/>
  <c r="Q14"/>
  <c r="N26" i="2"/>
  <c r="O26" s="1"/>
  <c r="AC26" s="1"/>
  <c r="AD27"/>
  <c r="Z33"/>
  <c r="AC33" s="1"/>
  <c r="O62" i="3"/>
  <c r="O65" i="8"/>
  <c r="AD31" i="2"/>
  <c r="AD32"/>
  <c r="O28" i="3"/>
  <c r="K14" i="2"/>
  <c r="K16" s="1"/>
  <c r="P12"/>
  <c r="O12"/>
  <c r="K17" l="1"/>
  <c r="K18" s="1"/>
  <c r="K19" s="1"/>
  <c r="K20" s="1"/>
  <c r="K21" s="1"/>
  <c r="K23" s="1"/>
  <c r="K24" s="1"/>
  <c r="O14"/>
  <c r="AD26"/>
  <c r="AD33"/>
  <c r="AD29"/>
  <c r="O27" i="3"/>
  <c r="I24"/>
  <c r="X14" i="2"/>
  <c r="W14"/>
  <c r="K34" l="1"/>
  <c r="AC13"/>
  <c r="N25" l="1"/>
  <c r="O25" s="1"/>
  <c r="X15"/>
  <c r="W15"/>
  <c r="U14"/>
  <c r="S14"/>
  <c r="P14"/>
  <c r="M7" i="3"/>
  <c r="O26"/>
  <c r="O23"/>
  <c r="O22"/>
  <c r="I27"/>
  <c r="I23"/>
  <c r="I22"/>
  <c r="K13"/>
  <c r="M11"/>
  <c r="E13" s="1"/>
  <c r="Q5"/>
  <c r="E3"/>
  <c r="B1"/>
  <c r="J16" i="2"/>
  <c r="J17" s="1"/>
  <c r="J18" s="1"/>
  <c r="J19" s="1"/>
  <c r="J20" s="1"/>
  <c r="J21" s="1"/>
  <c r="J22" s="1"/>
  <c r="J23" s="1"/>
  <c r="J24" s="1"/>
  <c r="J14"/>
  <c r="L14"/>
  <c r="G14"/>
  <c r="F14"/>
  <c r="E14"/>
  <c r="E15"/>
  <c r="E16"/>
  <c r="E17"/>
  <c r="E18"/>
  <c r="E19"/>
  <c r="E20"/>
  <c r="E21"/>
  <c r="E22"/>
  <c r="E23"/>
  <c r="E24"/>
  <c r="E34" l="1"/>
  <c r="AC25"/>
  <c r="AD25" s="1"/>
  <c r="G15"/>
  <c r="G16" s="1"/>
  <c r="G17" s="1"/>
  <c r="G18" s="1"/>
  <c r="G19" s="1"/>
  <c r="G20" s="1"/>
  <c r="G21" s="1"/>
  <c r="G22" s="1"/>
  <c r="G23" s="1"/>
  <c r="G24" s="1"/>
  <c r="S15"/>
  <c r="S16" s="1"/>
  <c r="S17" s="1"/>
  <c r="S18" s="1"/>
  <c r="S19" s="1"/>
  <c r="S20" s="1"/>
  <c r="S21" s="1"/>
  <c r="S22" s="1"/>
  <c r="S23" s="1"/>
  <c r="S24" s="1"/>
  <c r="Q15"/>
  <c r="Q16" s="1"/>
  <c r="Q17" s="1"/>
  <c r="Q18" s="1"/>
  <c r="Q19" s="1"/>
  <c r="Q20" s="1"/>
  <c r="Q21" s="1"/>
  <c r="Q22" s="1"/>
  <c r="F15"/>
  <c r="F16" s="1"/>
  <c r="F17" s="1"/>
  <c r="F18" s="1"/>
  <c r="F19" s="1"/>
  <c r="F20" s="1"/>
  <c r="F21" s="1"/>
  <c r="F22" s="1"/>
  <c r="F23" s="1"/>
  <c r="F24" s="1"/>
  <c r="L15"/>
  <c r="L17" s="1"/>
  <c r="L18" s="1"/>
  <c r="L19" s="1"/>
  <c r="L20" s="1"/>
  <c r="L21" s="1"/>
  <c r="L22" s="1"/>
  <c r="L23" s="1"/>
  <c r="L24" s="1"/>
  <c r="P15"/>
  <c r="P16" s="1"/>
  <c r="P17" s="1"/>
  <c r="P18" s="1"/>
  <c r="P19" s="1"/>
  <c r="P20" s="1"/>
  <c r="P21" s="1"/>
  <c r="P22" s="1"/>
  <c r="P23" s="1"/>
  <c r="P24" s="1"/>
  <c r="U15"/>
  <c r="U16" s="1"/>
  <c r="U17" s="1"/>
  <c r="U18" s="1"/>
  <c r="U19" s="1"/>
  <c r="U20" s="1"/>
  <c r="U21" s="1"/>
  <c r="U22" s="1"/>
  <c r="U23" s="1"/>
  <c r="U24" s="1"/>
  <c r="D15"/>
  <c r="I15" s="1"/>
  <c r="AD30"/>
  <c r="X16"/>
  <c r="X17" s="1"/>
  <c r="X18" s="1"/>
  <c r="X19" s="1"/>
  <c r="X20" s="1"/>
  <c r="X21" s="1"/>
  <c r="X22" s="1"/>
  <c r="X23" s="1"/>
  <c r="X24" s="1"/>
  <c r="W16"/>
  <c r="W17" s="1"/>
  <c r="W18" s="1"/>
  <c r="W19" s="1"/>
  <c r="W20" s="1"/>
  <c r="W21" s="1"/>
  <c r="W22" s="1"/>
  <c r="W23" s="1"/>
  <c r="W24" s="1"/>
  <c r="N13"/>
  <c r="M16"/>
  <c r="M17" s="1"/>
  <c r="M18" s="1"/>
  <c r="M19" s="1"/>
  <c r="M20" s="1"/>
  <c r="M21" s="1"/>
  <c r="M22" s="1"/>
  <c r="M23" s="1"/>
  <c r="M24" s="1"/>
  <c r="U34" l="1"/>
  <c r="T15"/>
  <c r="Y14"/>
  <c r="Q23"/>
  <c r="Q24" s="1"/>
  <c r="H15"/>
  <c r="D16"/>
  <c r="T16" s="1"/>
  <c r="N14"/>
  <c r="H13" i="3"/>
  <c r="AC14" i="2" l="1"/>
  <c r="AD14" s="1"/>
  <c r="Y15"/>
  <c r="O15"/>
  <c r="I28" i="3"/>
  <c r="I28" i="8"/>
  <c r="I21" i="3"/>
  <c r="I21" i="8"/>
  <c r="H16" i="2"/>
  <c r="O16" s="1"/>
  <c r="D17"/>
  <c r="T17" s="1"/>
  <c r="I16"/>
  <c r="N15"/>
  <c r="M13" i="3"/>
  <c r="Q14" s="1"/>
  <c r="AC15" i="2" l="1"/>
  <c r="AD15" s="1"/>
  <c r="Y16"/>
  <c r="AC16" s="1"/>
  <c r="H17"/>
  <c r="O17" s="1"/>
  <c r="I17"/>
  <c r="N16"/>
  <c r="D18"/>
  <c r="T18" s="1"/>
  <c r="Y17" l="1"/>
  <c r="H18"/>
  <c r="O18" s="1"/>
  <c r="I18"/>
  <c r="N17"/>
  <c r="AD16"/>
  <c r="AC17"/>
  <c r="D19"/>
  <c r="T19" s="1"/>
  <c r="Y18" l="1"/>
  <c r="AC18" s="1"/>
  <c r="H19"/>
  <c r="O19" s="1"/>
  <c r="N18"/>
  <c r="I19"/>
  <c r="AD17"/>
  <c r="D20"/>
  <c r="T20" s="1"/>
  <c r="Y19" l="1"/>
  <c r="H20"/>
  <c r="O20" s="1"/>
  <c r="AD18"/>
  <c r="I20"/>
  <c r="N19"/>
  <c r="D21"/>
  <c r="AB19" l="1"/>
  <c r="AC19" s="1"/>
  <c r="AD19" s="1"/>
  <c r="Y20"/>
  <c r="F65" i="8"/>
  <c r="F62" i="3"/>
  <c r="T21" i="2"/>
  <c r="D28"/>
  <c r="H21"/>
  <c r="O21" s="1"/>
  <c r="N20"/>
  <c r="AB20" s="1"/>
  <c r="I21"/>
  <c r="AD13"/>
  <c r="D22"/>
  <c r="T22" s="1"/>
  <c r="Y21" l="1"/>
  <c r="H28"/>
  <c r="N28" s="1"/>
  <c r="AB34"/>
  <c r="Q40" i="3" s="1"/>
  <c r="AC20" i="2"/>
  <c r="AD20" s="1"/>
  <c r="H22"/>
  <c r="O22" s="1"/>
  <c r="I22"/>
  <c r="N21"/>
  <c r="AC21"/>
  <c r="D23"/>
  <c r="T23" s="1"/>
  <c r="Q44" i="3" l="1"/>
  <c r="Y22" i="2"/>
  <c r="J62" i="3" s="1"/>
  <c r="AD28" i="2"/>
  <c r="H23"/>
  <c r="O23" s="1"/>
  <c r="I23"/>
  <c r="AD21"/>
  <c r="AC22"/>
  <c r="N22"/>
  <c r="D24"/>
  <c r="Y23" l="1"/>
  <c r="J65" i="8"/>
  <c r="T24" i="2"/>
  <c r="T34" s="1"/>
  <c r="D34"/>
  <c r="H24"/>
  <c r="I24"/>
  <c r="I34" s="1"/>
  <c r="AD22"/>
  <c r="N23"/>
  <c r="L65" i="8" l="1"/>
  <c r="L62" i="3"/>
  <c r="AC23" i="2"/>
  <c r="AD23" s="1"/>
  <c r="O24"/>
  <c r="O34" s="1"/>
  <c r="O20" i="3" s="1"/>
  <c r="H34" i="2"/>
  <c r="F19" i="1"/>
  <c r="I25" i="3" l="1"/>
  <c r="Q32"/>
  <c r="M65" i="8"/>
  <c r="P65" s="1"/>
  <c r="M62" i="3"/>
  <c r="P62" s="1"/>
  <c r="Y34" i="2"/>
  <c r="F8" i="1" s="1"/>
  <c r="Q32" i="8"/>
  <c r="Q34" s="1"/>
  <c r="Q45" s="1"/>
  <c r="O20"/>
  <c r="I25"/>
  <c r="AC24" i="2"/>
  <c r="AC34" s="1"/>
  <c r="N24"/>
  <c r="N34" l="1"/>
  <c r="O30" i="3"/>
  <c r="O30" i="8"/>
  <c r="AD24" i="2"/>
  <c r="AD34" s="1"/>
  <c r="Q4" i="8" l="1"/>
  <c r="Q6" s="1"/>
  <c r="Q10" s="1"/>
  <c r="Q15" s="1"/>
  <c r="Q17" s="1"/>
  <c r="Q46" s="1"/>
  <c r="Q47" s="1"/>
  <c r="F4" i="1"/>
  <c r="F17" s="1"/>
  <c r="D10" i="9" s="1"/>
  <c r="Q4" i="3"/>
  <c r="Q31"/>
  <c r="C14" i="9" l="1"/>
  <c r="E11"/>
  <c r="Q6" i="3"/>
  <c r="M9" s="1"/>
  <c r="Q9" s="1"/>
  <c r="Q10" s="1"/>
  <c r="Q15" s="1"/>
  <c r="Q17" s="1"/>
  <c r="Q53" i="8"/>
  <c r="Q54"/>
  <c r="Q51"/>
  <c r="Q55"/>
  <c r="Q52"/>
  <c r="Q56"/>
  <c r="D20" i="1"/>
  <c r="F12"/>
  <c r="A20"/>
  <c r="Q34" i="3"/>
  <c r="Q45" s="1"/>
  <c r="Q57" i="8" l="1"/>
  <c r="Q58" s="1"/>
  <c r="Q46" i="3"/>
  <c r="Q47" s="1"/>
  <c r="Q53" l="1"/>
  <c r="Q52"/>
  <c r="Q51"/>
  <c r="Q59" i="8"/>
  <c r="Q60" s="1"/>
  <c r="Q61" s="1"/>
  <c r="Q63" s="1"/>
  <c r="Q66" s="1"/>
  <c r="F6" i="1"/>
  <c r="B66" i="8" l="1"/>
  <c r="Q54" i="3"/>
  <c r="Q55" s="1"/>
  <c r="Q56" l="1"/>
  <c r="Q57" l="1"/>
  <c r="Q58" s="1"/>
  <c r="Q60" s="1"/>
  <c r="B63" l="1"/>
  <c r="A19" i="1" s="1"/>
  <c r="Q63" i="3"/>
  <c r="D19" i="1" s="1"/>
</calcChain>
</file>

<file path=xl/sharedStrings.xml><?xml version="1.0" encoding="utf-8"?>
<sst xmlns="http://schemas.openxmlformats.org/spreadsheetml/2006/main" count="500" uniqueCount="254">
  <si>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</si>
  <si>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</si>
  <si>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</si>
  <si>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</si>
  <si>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</si>
  <si>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</si>
  <si>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</si>
  <si>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</si>
  <si>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</si>
  <si>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</si>
  <si>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</si>
  <si>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</si>
  <si>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</si>
  <si>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</si>
  <si>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</si>
  <si>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</si>
  <si>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</si>
  <si>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</si>
  <si>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</si>
  <si>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</si>
  <si>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</si>
  <si>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</si>
  <si>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</si>
  <si>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</si>
  <si>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</si>
  <si>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</si>
  <si>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</si>
  <si>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</si>
  <si>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</si>
  <si>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</si>
  <si>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</si>
  <si>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</si>
  <si>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</si>
  <si>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</si>
  <si>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</si>
  <si>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</si>
  <si>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</si>
  <si>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</si>
  <si>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</si>
  <si>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</si>
  <si>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</si>
  <si>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</si>
  <si>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</si>
  <si>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</si>
  <si>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</si>
  <si>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</si>
  <si>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</si>
  <si>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</si>
  <si>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</si>
  <si>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</si>
  <si>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</si>
  <si>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</si>
  <si>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</si>
  <si>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</si>
  <si>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</si>
  <si>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</si>
  <si>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</si>
  <si>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</si>
  <si>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</si>
  <si>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</si>
  <si>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</si>
  <si>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</si>
  <si>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</si>
  <si>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</si>
  <si>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</si>
  <si>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</si>
  <si>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</si>
  <si>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</si>
  <si>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</si>
  <si>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</si>
  <si>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</si>
  <si>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</si>
  <si>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</si>
  <si>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</si>
  <si>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</si>
  <si>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</si>
  <si>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</si>
  <si>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</si>
  <si>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</si>
  <si>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</si>
  <si>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</si>
  <si>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</si>
  <si>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</si>
  <si>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</si>
  <si>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</si>
  <si>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</si>
  <si>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</si>
  <si>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</si>
  <si>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</si>
  <si>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</si>
  <si>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</si>
  <si>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</si>
  <si>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</si>
  <si>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</si>
  <si>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</si>
  <si>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</si>
  <si>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</si>
  <si>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</si>
  <si>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</si>
  <si>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</si>
  <si>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</si>
  <si>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</si>
  <si>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</si>
  <si>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</si>
  <si>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</si>
  <si>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</si>
  <si>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</si>
  <si>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</si>
  <si>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</si>
  <si>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</si>
  <si>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</si>
  <si>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</si>
  <si>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</si>
  <si>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</si>
  <si>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</si>
  <si>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</si>
  <si>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</si>
  <si>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</si>
  <si>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</si>
  <si>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</si>
  <si>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</si>
  <si>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</si>
  <si>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</si>
  <si>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</si>
  <si>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</si>
  <si>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</si>
  <si>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</si>
  <si>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</si>
  <si>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</si>
  <si>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</si>
  <si>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</si>
  <si>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</si>
  <si>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</si>
  <si>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</si>
  <si>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</si>
  <si>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</si>
  <si>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</si>
  <si>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</si>
  <si>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</si>
  <si>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</si>
  <si>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</si>
  <si>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</si>
  <si>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</si>
  <si>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</si>
  <si>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Other Allowance 1</t>
  </si>
  <si>
    <t>Other Allowance 2</t>
  </si>
  <si>
    <t>vU; tekjkf'k ¼/kkjk 80 lh ds vUrxZr½</t>
  </si>
  <si>
    <t>H.R.A.</t>
  </si>
  <si>
    <t>osru ds vfrfjDr dVkSfr;k¡] vk;@tek jkf'k ,oa NwV dk fooj.k</t>
  </si>
  <si>
    <t>HRA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</si>
  <si>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</si>
  <si>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</si>
  <si>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</si>
  <si>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</si>
  <si>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</si>
  <si>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</si>
  <si>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</si>
  <si>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</si>
  <si>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r>
      <t xml:space="preserve">28- /kkjk 80 </t>
    </r>
    <r>
      <rPr>
        <sz val="9"/>
        <rFont val="Times New Roman"/>
        <family val="1"/>
      </rPr>
      <t>GGA</t>
    </r>
    <r>
      <rPr>
        <sz val="12"/>
        <rFont val="DevLys 010"/>
      </rPr>
      <t xml:space="preserve"> - vuqeksfnr oSKkfud]lkekftd]xzkeh.k fodkl vkfn gsrq fn;k x;k nku</t>
    </r>
  </si>
  <si>
    <r>
      <t xml:space="preserve">32- osru fcy ds vykok tek djk;k x;k aavk;dj </t>
    </r>
    <r>
      <rPr>
        <sz val="10"/>
        <rFont val="Calibri"/>
        <family val="2"/>
        <scheme val="minor"/>
      </rPr>
      <t>(TDS)</t>
    </r>
  </si>
  <si>
    <r>
      <t>20- 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 ¼,u-ih-,l- ds avykok½</t>
    </r>
  </si>
  <si>
    <r>
      <t xml:space="preserve">21- /kkjk </t>
    </r>
    <r>
      <rPr>
        <sz val="10"/>
        <rFont val="Calibri"/>
        <family val="2"/>
        <scheme val="minor"/>
      </rPr>
      <t>80CCD(1B)</t>
    </r>
    <r>
      <rPr>
        <sz val="12"/>
        <rFont val="Calibri"/>
        <family val="2"/>
        <scheme val="minor"/>
      </rPr>
      <t xml:space="preserve"> -</t>
    </r>
    <r>
      <rPr>
        <sz val="12"/>
        <rFont val="DevLys 010"/>
      </rPr>
      <t>uohu isa'ku ;kstuk esa vfrfjDr va'knku ¼vf/kdre :- 50]000½</t>
    </r>
  </si>
  <si>
    <r>
      <t>22- 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>fpfdRlk chek izhfe;e ¼lkekU; 25000] ofj"B ukxfjd 50000½</t>
    </r>
  </si>
  <si>
    <r>
      <t>23- 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 xml:space="preserve">80% </t>
    </r>
    <r>
      <rPr>
        <sz val="10"/>
        <rFont val="DevLys 010"/>
      </rPr>
      <t>fodykaxrk 125000½</t>
    </r>
  </si>
  <si>
    <r>
      <t>25- 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</si>
  <si>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26- 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</si>
  <si>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>27- 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'kkjhfjd fodykaxrk ¼vf/kdre 75000] </t>
    </r>
    <r>
      <rPr>
        <sz val="9"/>
        <rFont val="Times New Roman"/>
        <family val="1"/>
      </rPr>
      <t>80%</t>
    </r>
    <r>
      <rPr>
        <sz val="12"/>
        <rFont val="DevLys 010"/>
      </rPr>
      <t xml:space="preserve"> fodykaxrk 125000½</t>
    </r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</si>
  <si>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</si>
  <si>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</si>
  <si>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</si>
  <si>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</si>
  <si>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</si>
  <si>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</si>
  <si>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</si>
  <si>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</si>
  <si>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rPr>
        <sz val="12"/>
        <rFont val="DevLys 010"/>
      </rPr>
      <t>17</t>
    </r>
    <r>
      <rPr>
        <sz val="14"/>
        <rFont val="DevLys 010"/>
      </rPr>
      <t xml:space="preserve">- </t>
    </r>
    <r>
      <rPr>
        <sz val="12"/>
        <rFont val="DevLys 010"/>
      </rPr>
      <t xml:space="preserve">cpr [kkrs dh tek jkf'k ij izkIr C;kt </t>
    </r>
    <r>
      <rPr>
        <sz val="10"/>
        <rFont val="Times New Roman"/>
        <family val="1"/>
      </rPr>
      <t xml:space="preserve">(80 TTA/80 TTB) </t>
    </r>
    <r>
      <rPr>
        <sz val="12"/>
        <rFont val="DevLys 010"/>
      </rPr>
      <t>gsrq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</si>
  <si>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</si>
  <si>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</si>
  <si>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</si>
  <si>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NAME :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</si>
  <si>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</si>
  <si>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</si>
  <si>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</si>
  <si>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</si>
  <si>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</si>
  <si>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2"/>
        <rFont val="Kruti Dev 010"/>
      </rPr>
      <t>¼vf/kdre : 40]000] lhfu;j flVhtu gsrq : 100]000½</t>
    </r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</si>
  <si>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</si>
  <si>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</si>
  <si>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</si>
  <si>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</si>
  <si>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</si>
  <si>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</si>
  <si>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r>
      <t>24- 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2"/>
        <rFont val="DevLys 010"/>
      </rPr>
      <t>¼lkekU; 40000] ofj"B ukxfjd 1 yk[k½</t>
    </r>
  </si>
  <si>
    <t>INCOME TAX CALCULATION (GA-55) 2020-21</t>
  </si>
  <si>
    <t>Surrender Arrear</t>
  </si>
  <si>
    <t>Extra Sallary</t>
  </si>
  <si>
    <t>vk;dj x.kuk izi= o"kZ 2020&amp;2021 ¼dj fu/kkZj.k o"kZ 2021&amp;2022½</t>
  </si>
  <si>
    <t>Yes</t>
  </si>
  <si>
    <t>GPF 2004 (NPS)</t>
  </si>
  <si>
    <t>CM Corona Fund</t>
  </si>
  <si>
    <t>SERVICE CATEGORY</t>
  </si>
  <si>
    <t>ALL INDIA SERVICE</t>
  </si>
  <si>
    <t>STATE SERVICE</t>
  </si>
  <si>
    <t>SUBORDINATE</t>
  </si>
  <si>
    <t>MINISTRIAL</t>
  </si>
  <si>
    <t>CLASS IV</t>
  </si>
  <si>
    <t>MARCH - 2020 BASIC</t>
  </si>
  <si>
    <t>SI Arear</t>
  </si>
  <si>
    <t>D;k vkidks cksul feyk gS \</t>
  </si>
  <si>
    <t>RAJTEACHERS.NET</t>
  </si>
  <si>
    <t>WWW.RAJTEACHERS.NET</t>
  </si>
  <si>
    <r>
      <t>D;k vki ofj"B ukxfjd Js.kh ¼</t>
    </r>
    <r>
      <rPr>
        <b/>
        <sz val="14"/>
        <color theme="1"/>
        <rFont val="Calibri"/>
        <family val="2"/>
        <scheme val="minor"/>
      </rPr>
      <t>60-80</t>
    </r>
    <r>
      <rPr>
        <b/>
        <sz val="14"/>
        <color theme="1"/>
        <rFont val="DevLys 010"/>
      </rPr>
      <t xml:space="preserve"> vk;qoxZ½ esa vkrs gS \</t>
    </r>
  </si>
  <si>
    <r>
      <t xml:space="preserve">USE </t>
    </r>
    <r>
      <rPr>
        <b/>
        <sz val="16"/>
        <color theme="0"/>
        <rFont val="Arial"/>
        <family val="2"/>
      </rPr>
      <t>DEVLYS</t>
    </r>
    <r>
      <rPr>
        <b/>
        <sz val="18"/>
        <color theme="0"/>
        <rFont val="Arial"/>
        <family val="2"/>
      </rPr>
      <t xml:space="preserve"> 10  FONT</t>
    </r>
  </si>
  <si>
    <t>GPF/PRAN NUMBER:</t>
  </si>
  <si>
    <t>D;k vkius o"kZ 2020&amp;21 esa lefiZr osru fy;k gS \</t>
  </si>
  <si>
    <t>D;k vkius o"kZ 2019&amp;20 esa lefiZr osru fy;k gS \</t>
  </si>
  <si>
    <t>Hitkari Nidhi</t>
  </si>
  <si>
    <t>(xix)</t>
  </si>
  <si>
    <t>No</t>
  </si>
  <si>
    <t>JDHG03597G</t>
  </si>
  <si>
    <t>RECEIPT OF HOUSE RENT</t>
  </si>
  <si>
    <t>(Under section 1 (13-A) of Income Tax Act)</t>
  </si>
  <si>
    <t>Date :-</t>
  </si>
  <si>
    <t xml:space="preserve">The sum of </t>
  </si>
  <si>
    <t>(Signature of House Owner)</t>
  </si>
  <si>
    <t xml:space="preserve">I Owner </t>
  </si>
  <si>
    <t xml:space="preserve">Received with Thanks from Sri/Smt. </t>
  </si>
  <si>
    <t>Address-</t>
  </si>
  <si>
    <t>Rs.=</t>
  </si>
  <si>
    <t>Only</t>
  </si>
  <si>
    <t>Towards the House Rent @  Rs. =</t>
  </si>
  <si>
    <t>April 2020 To March 2021</t>
  </si>
  <si>
    <t>Per Month From :-</t>
  </si>
  <si>
    <t xml:space="preserve">Rs.  =  </t>
  </si>
  <si>
    <t>Date:-</t>
  </si>
  <si>
    <t>11.12.2020</t>
  </si>
  <si>
    <t>Name-</t>
  </si>
  <si>
    <t>flrEcj 2020
rd  :i;s</t>
  </si>
  <si>
    <t>fnlEcj 2020
rd  :i;s</t>
  </si>
  <si>
    <t>tuojh 2021
rd :i;s</t>
  </si>
  <si>
    <t>Qjojh 2021
rd  :i;s</t>
  </si>
  <si>
    <t>In word Type Here</t>
  </si>
  <si>
    <t>DA Arrear 17%     (July 19 To Dec. 19)</t>
  </si>
  <si>
    <t>DA Arrear 17%      (Jan 20 To Feb. 20)</t>
  </si>
  <si>
    <r>
      <t xml:space="preserve">;fn vki 01-01-2004 dks ;k mlds i'pkr fu;qDr dkfeZd gSa rks </t>
    </r>
    <r>
      <rPr>
        <b/>
        <sz val="16"/>
        <color theme="1"/>
        <rFont val="Calibri"/>
        <family val="2"/>
        <scheme val="minor"/>
      </rPr>
      <t xml:space="preserve">Drop Down Menu </t>
    </r>
    <r>
      <rPr>
        <b/>
        <sz val="16"/>
        <color theme="1"/>
        <rFont val="DevLys 010"/>
      </rPr>
      <t xml:space="preserve">esa ls </t>
    </r>
    <r>
      <rPr>
        <b/>
        <sz val="16"/>
        <color theme="1"/>
        <rFont val="Calibri"/>
        <family val="2"/>
        <scheme val="minor"/>
      </rPr>
      <t xml:space="preserve">"Yes" </t>
    </r>
    <r>
      <rPr>
        <b/>
        <sz val="16"/>
        <color theme="1"/>
        <rFont val="DevLys 010"/>
      </rPr>
      <t xml:space="preserve">pqusa] vU;Fkk </t>
    </r>
    <r>
      <rPr>
        <b/>
        <sz val="16"/>
        <color theme="1"/>
        <rFont val="Calibri"/>
        <family val="2"/>
        <scheme val="minor"/>
      </rPr>
      <t>"No"</t>
    </r>
    <r>
      <rPr>
        <b/>
        <sz val="16"/>
        <color theme="1"/>
        <rFont val="DevLys 010"/>
      </rPr>
      <t xml:space="preserve"> pqusaA 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</si>
  <si>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>fof'k"V jksaxksa ds mipkj gsrq dVkSrh</t>
    </r>
    <r>
      <rPr>
        <sz val="13"/>
        <rFont val="DevLys 010"/>
      </rPr>
      <t xml:space="preserve"> </t>
    </r>
    <r>
      <rPr>
        <sz val="13"/>
        <rFont val="Kruti Dev 010"/>
      </rPr>
      <t>¼vf/kdre : 40]000] lhfu;j flVhtu gsrq : 100]000½</t>
    </r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</si>
  <si>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Kruti Dev 010"/>
      </rPr>
      <t>¼Lo;a]ifr@iRuh o cPpksa ds fy, : 25000] ekrk&amp;firk ds fy, : 25000]lhfu;j flVhtu : 50000½</t>
    </r>
  </si>
  <si>
    <t>PAN:</t>
  </si>
  <si>
    <t>DESIGNATION</t>
  </si>
  <si>
    <t>PARMANAND MEGHWAL</t>
  </si>
  <si>
    <t>SENIOR TEACHER</t>
  </si>
  <si>
    <t>XXXXXXXXX</t>
  </si>
  <si>
    <t>123456789</t>
  </si>
  <si>
    <t>vk; %  o"kZ&amp;2020&amp;21 esa izkIr dqy osru ¼ dj ;ksX; lqfo/kkvksa ds eqY; lfgr ½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</si>
</sst>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[$-14009]dd\-mm\-yyyy;@"/>
    <numFmt numFmtId="165" formatCode="00000"/>
  </numFmts>
  <fonts count="97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6"/>
      <color theme="1"/>
      <name val="DevLys 010"/>
    </font>
    <font>
      <sz val="10"/>
      <color theme="1"/>
      <name val="Arial"/>
      <family val="2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3"/>
      <color theme="1"/>
      <name val="DevLys 010"/>
    </font>
    <font>
      <sz val="19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b/>
      <sz val="20"/>
      <name val="DevLys 010"/>
    </font>
    <font>
      <sz val="12"/>
      <name val="Kruti Dev 010"/>
    </font>
    <font>
      <sz val="22"/>
      <color rgb="FFFF0000"/>
      <name val="Arial"/>
      <family val="2"/>
    </font>
    <font>
      <b/>
      <sz val="36"/>
      <color theme="0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name val="Times New Roman"/>
      <family val="1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0"/>
      <name val="Arial"/>
      <family val="2"/>
    </font>
    <font>
      <b/>
      <sz val="18"/>
      <color theme="0"/>
      <name val="Arial"/>
      <family val="2"/>
    </font>
    <font>
      <b/>
      <sz val="9"/>
      <color theme="1"/>
      <name val="Times New Roman"/>
      <family val="1"/>
    </font>
    <font>
      <b/>
      <sz val="22"/>
      <color theme="0"/>
      <name val="Arial"/>
      <family val="2"/>
    </font>
    <font>
      <b/>
      <u/>
      <sz val="16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Calibri"/>
      <family val="2"/>
      <scheme val="minor"/>
    </font>
    <font>
      <sz val="14"/>
      <name val="Arial"/>
      <family val="2"/>
    </font>
    <font>
      <b/>
      <u/>
      <sz val="26"/>
      <name val="Times New Roman"/>
      <family val="1"/>
    </font>
    <font>
      <b/>
      <sz val="20"/>
      <name val="Times New Roman"/>
      <family val="1"/>
    </font>
    <font>
      <b/>
      <sz val="16"/>
      <color theme="1"/>
      <name val="DevLys 010"/>
    </font>
    <font>
      <b/>
      <sz val="16"/>
      <color theme="1"/>
      <name val="Calibri"/>
      <family val="2"/>
      <scheme val="minor"/>
    </font>
    <font>
      <sz val="9"/>
      <name val="Kruti Dev 010"/>
    </font>
    <font>
      <sz val="13"/>
      <name val="Kruti Dev 010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5" fillId="0" borderId="0"/>
    <xf numFmtId="43" fontId="5" fillId="0" borderId="0" applyFont="0" applyFill="0" applyBorder="0" applyAlignment="0" applyProtection="0"/>
  </cellStyleXfs>
  <cellXfs count="475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1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0" fontId="29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5" fillId="0" borderId="0" xfId="37" applyFont="1" applyBorder="1" applyAlignment="1">
      <alignment horizontal="center" vertical="center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1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1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8" fillId="30" borderId="17" xfId="0" applyNumberFormat="1" applyFont="1" applyFill="1" applyBorder="1" applyAlignment="1">
      <alignment horizontal="center" vertical="center"/>
    </xf>
    <xf numFmtId="1" fontId="69" fillId="29" borderId="0" xfId="0" applyNumberFormat="1" applyFont="1" applyFill="1" applyBorder="1" applyAlignment="1">
      <alignment horizontal="center" vertical="center"/>
    </xf>
    <xf numFmtId="1" fontId="69" fillId="30" borderId="0" xfId="0" applyNumberFormat="1" applyFont="1" applyFill="1" applyBorder="1" applyAlignment="1">
      <alignment horizontal="center" vertical="center"/>
    </xf>
    <xf numFmtId="1" fontId="69" fillId="28" borderId="0" xfId="0" applyNumberFormat="1" applyFont="1" applyFill="1" applyBorder="1" applyAlignment="1">
      <alignment horizontal="center" vertical="center"/>
    </xf>
    <xf numFmtId="2" fontId="69" fillId="28" borderId="0" xfId="0" applyNumberFormat="1" applyFont="1" applyFill="1" applyBorder="1" applyAlignment="1">
      <alignment horizontal="center" vertical="center"/>
    </xf>
    <xf numFmtId="2" fontId="50" fillId="28" borderId="0" xfId="0" applyNumberFormat="1" applyFont="1" applyFill="1" applyBorder="1" applyAlignment="1">
      <alignment horizontal="left" indent="1"/>
    </xf>
    <xf numFmtId="2" fontId="32" fillId="28" borderId="0" xfId="0" applyNumberFormat="1" applyFont="1" applyFill="1" applyBorder="1" applyAlignment="1" applyProtection="1">
      <alignment horizontal="center"/>
      <protection locked="0"/>
    </xf>
    <xf numFmtId="2" fontId="32" fillId="28" borderId="0" xfId="0" applyNumberFormat="1" applyFont="1" applyFill="1" applyBorder="1" applyAlignment="1" applyProtection="1">
      <alignment horizontal="left"/>
    </xf>
    <xf numFmtId="2" fontId="49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vertical="center" wrapText="1" indent="1"/>
    </xf>
    <xf numFmtId="2" fontId="50" fillId="32" borderId="0" xfId="0" applyNumberFormat="1" applyFont="1" applyFill="1" applyBorder="1" applyAlignment="1">
      <alignment horizontal="left" vertical="center" wrapText="1" indent="1"/>
    </xf>
    <xf numFmtId="2" fontId="32" fillId="32" borderId="0" xfId="0" applyNumberFormat="1" applyFont="1" applyFill="1" applyBorder="1" applyAlignment="1" applyProtection="1">
      <alignment horizontal="center" vertical="center"/>
      <protection locked="0"/>
    </xf>
    <xf numFmtId="2" fontId="32" fillId="32" borderId="0" xfId="0" applyNumberFormat="1" applyFont="1" applyFill="1" applyBorder="1" applyAlignment="1" applyProtection="1">
      <alignment horizontal="left"/>
    </xf>
    <xf numFmtId="2" fontId="1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indent="1"/>
    </xf>
    <xf numFmtId="2" fontId="32" fillId="32" borderId="0" xfId="0" applyNumberFormat="1" applyFont="1" applyFill="1" applyBorder="1" applyAlignment="1" applyProtection="1">
      <alignment horizontal="center"/>
      <protection locked="0"/>
    </xf>
    <xf numFmtId="2" fontId="1" fillId="32" borderId="0" xfId="0" applyNumberFormat="1" applyFont="1" applyFill="1" applyBorder="1" applyAlignment="1">
      <alignment horizontal="left" indent="1"/>
    </xf>
    <xf numFmtId="2" fontId="71" fillId="33" borderId="17" xfId="0" applyNumberFormat="1" applyFont="1" applyFill="1" applyBorder="1" applyAlignment="1">
      <alignment horizontal="center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77" fillId="0" borderId="0" xfId="0" applyNumberFormat="1" applyFont="1" applyFill="1" applyBorder="1" applyAlignment="1">
      <alignment vertical="top"/>
    </xf>
    <xf numFmtId="0" fontId="78" fillId="0" borderId="0" xfId="0" applyNumberFormat="1" applyFont="1" applyFill="1" applyBorder="1" applyAlignment="1">
      <alignment vertical="top"/>
    </xf>
    <xf numFmtId="0" fontId="79" fillId="0" borderId="0" xfId="0" applyNumberFormat="1" applyFont="1" applyFill="1" applyBorder="1" applyAlignment="1">
      <alignment horizontal="left" vertical="top" wrapText="1"/>
    </xf>
    <xf numFmtId="0" fontId="33" fillId="0" borderId="0" xfId="0" applyNumberFormat="1" applyFont="1" applyFill="1" applyBorder="1" applyAlignment="1">
      <alignment horizontal="left" vertical="top"/>
    </xf>
    <xf numFmtId="0" fontId="1" fillId="26" borderId="0" xfId="37" applyFont="1" applyFill="1" applyAlignment="1"/>
    <xf numFmtId="0" fontId="76" fillId="35" borderId="0" xfId="0" applyNumberFormat="1" applyFont="1" applyFill="1" applyBorder="1" applyAlignment="1" applyProtection="1">
      <alignment vertical="center"/>
      <protection hidden="1"/>
    </xf>
    <xf numFmtId="0" fontId="80" fillId="35" borderId="0" xfId="0" applyNumberFormat="1" applyFont="1" applyFill="1" applyBorder="1" applyAlignment="1" applyProtection="1">
      <alignment vertical="center"/>
      <protection hidden="1"/>
    </xf>
    <xf numFmtId="0" fontId="62" fillId="34" borderId="0" xfId="0" applyNumberFormat="1" applyFont="1" applyFill="1" applyBorder="1" applyAlignment="1" applyProtection="1">
      <alignment vertical="top"/>
      <protection hidden="1"/>
    </xf>
    <xf numFmtId="0" fontId="62" fillId="35" borderId="0" xfId="0" applyNumberFormat="1" applyFont="1" applyFill="1" applyBorder="1" applyAlignment="1" applyProtection="1">
      <alignment vertical="top"/>
      <protection hidden="1"/>
    </xf>
    <xf numFmtId="0" fontId="65" fillId="35" borderId="10" xfId="0" applyNumberFormat="1" applyFont="1" applyFill="1" applyBorder="1" applyAlignment="1" applyProtection="1">
      <alignment horizontal="center" vertical="top"/>
      <protection hidden="1"/>
    </xf>
    <xf numFmtId="0" fontId="61" fillId="35" borderId="0" xfId="0" applyNumberFormat="1" applyFont="1" applyFill="1" applyBorder="1" applyAlignment="1" applyProtection="1">
      <alignment horizontal="left" vertical="top"/>
      <protection hidden="1"/>
    </xf>
    <xf numFmtId="0" fontId="66" fillId="35" borderId="0" xfId="0" applyNumberFormat="1" applyFont="1" applyFill="1" applyBorder="1" applyAlignment="1" applyProtection="1">
      <alignment horizontal="left" vertical="center"/>
      <protection hidden="1"/>
    </xf>
    <xf numFmtId="0" fontId="65" fillId="35" borderId="0" xfId="0" applyNumberFormat="1" applyFont="1" applyFill="1" applyBorder="1" applyAlignment="1" applyProtection="1">
      <alignment horizontal="center" vertical="center"/>
      <protection locked="0" hidden="1"/>
    </xf>
    <xf numFmtId="0" fontId="66" fillId="35" borderId="0" xfId="0" applyNumberFormat="1" applyFont="1" applyFill="1" applyBorder="1" applyAlignment="1" applyProtection="1">
      <alignment vertical="center"/>
      <protection hidden="1"/>
    </xf>
    <xf numFmtId="9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6" fillId="34" borderId="0" xfId="0" applyNumberFormat="1" applyFont="1" applyFill="1" applyBorder="1" applyAlignment="1" applyProtection="1">
      <alignment horizontal="left" vertical="center"/>
      <protection hidden="1"/>
    </xf>
    <xf numFmtId="0" fontId="76" fillId="34" borderId="0" xfId="0" applyNumberFormat="1" applyFont="1" applyFill="1" applyBorder="1" applyAlignment="1" applyProtection="1">
      <alignment vertical="center"/>
      <protection hidden="1"/>
    </xf>
    <xf numFmtId="0" fontId="76" fillId="34" borderId="0" xfId="0" applyNumberFormat="1" applyFont="1" applyFill="1" applyBorder="1" applyAlignment="1" applyProtection="1">
      <alignment horizontal="center" vertical="center"/>
      <protection hidden="1"/>
    </xf>
    <xf numFmtId="0" fontId="80" fillId="34" borderId="0" xfId="0" applyNumberFormat="1" applyFont="1" applyFill="1" applyBorder="1" applyAlignment="1" applyProtection="1">
      <alignment vertical="center"/>
      <protection hidden="1"/>
    </xf>
    <xf numFmtId="0" fontId="80" fillId="34" borderId="0" xfId="0" applyNumberFormat="1" applyFont="1" applyFill="1" applyBorder="1" applyAlignment="1" applyProtection="1">
      <alignment horizontal="center" vertical="center"/>
      <protection hidden="1"/>
    </xf>
    <xf numFmtId="0" fontId="67" fillId="35" borderId="0" xfId="0" applyNumberFormat="1" applyFont="1" applyFill="1" applyBorder="1" applyAlignment="1" applyProtection="1">
      <alignment horizontal="center"/>
      <protection locked="0" hidden="1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/>
      <protection locked="0"/>
    </xf>
    <xf numFmtId="14" fontId="0" fillId="0" borderId="0" xfId="0" applyNumberFormat="1" applyFont="1" applyBorder="1" applyAlignment="1" applyProtection="1">
      <alignment horizontal="center" vertical="center"/>
      <protection locked="0"/>
    </xf>
    <xf numFmtId="0" fontId="89" fillId="0" borderId="0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88" fillId="0" borderId="0" xfId="0" applyFont="1" applyBorder="1" applyAlignment="1">
      <alignment horizontal="center" vertical="center"/>
    </xf>
    <xf numFmtId="0" fontId="0" fillId="0" borderId="44" xfId="0" applyBorder="1"/>
    <xf numFmtId="0" fontId="0" fillId="0" borderId="37" xfId="0" applyBorder="1"/>
    <xf numFmtId="0" fontId="0" fillId="0" borderId="44" xfId="0" applyBorder="1" applyAlignment="1">
      <alignment vertical="center"/>
    </xf>
    <xf numFmtId="0" fontId="0" fillId="0" borderId="37" xfId="0" applyBorder="1" applyAlignment="1">
      <alignment vertical="center"/>
    </xf>
    <xf numFmtId="0" fontId="88" fillId="0" borderId="44" xfId="0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0" fillId="0" borderId="0" xfId="0" applyBorder="1" applyAlignment="1" applyProtection="1">
      <alignment horizontal="left" vertical="center"/>
      <protection locked="0" hidden="1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2" fontId="0" fillId="0" borderId="37" xfId="0" applyNumberFormat="1" applyBorder="1" applyAlignment="1">
      <alignment horizontal="left" vertical="center"/>
    </xf>
    <xf numFmtId="14" fontId="0" fillId="0" borderId="37" xfId="0" applyNumberFormat="1" applyBorder="1" applyAlignment="1" applyProtection="1">
      <alignment horizontal="left" vertical="center"/>
      <protection locked="0" hidden="1"/>
    </xf>
    <xf numFmtId="2" fontId="88" fillId="0" borderId="47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vertical="center"/>
      <protection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30" fillId="0" borderId="0" xfId="37" applyFont="1" applyBorder="1" applyAlignment="1" applyProtection="1">
      <alignment horizontal="right" vertical="center"/>
      <protection hidden="1"/>
    </xf>
    <xf numFmtId="0" fontId="1" fillId="0" borderId="0" xfId="37" applyFont="1" applyBorder="1" applyAlignment="1" applyProtection="1">
      <alignment horizontal="right" vertical="center"/>
      <protection hidden="1"/>
    </xf>
    <xf numFmtId="2" fontId="33" fillId="0" borderId="0" xfId="37" applyNumberFormat="1" applyFont="1" applyBorder="1" applyAlignment="1" applyProtection="1">
      <alignment horizontal="right" vertical="center"/>
      <protection hidden="1"/>
    </xf>
    <xf numFmtId="0" fontId="1" fillId="0" borderId="0" xfId="37" applyFont="1" applyBorder="1" applyProtection="1">
      <protection hidden="1"/>
    </xf>
    <xf numFmtId="0" fontId="28" fillId="0" borderId="0" xfId="37" applyFont="1" applyBorder="1" applyProtection="1">
      <protection hidden="1"/>
    </xf>
    <xf numFmtId="0" fontId="45" fillId="0" borderId="0" xfId="37" applyFont="1" applyBorder="1" applyAlignment="1" applyProtection="1">
      <alignment horizontal="center" vertical="center"/>
      <protection hidden="1"/>
    </xf>
    <xf numFmtId="0" fontId="27" fillId="0" borderId="0" xfId="37" applyFont="1" applyBorder="1" applyAlignment="1" applyProtection="1">
      <alignment horizontal="right"/>
      <protection hidden="1"/>
    </xf>
    <xf numFmtId="0" fontId="28" fillId="0" borderId="0" xfId="37" applyFont="1" applyBorder="1" applyAlignment="1" applyProtection="1">
      <alignment horizontal="right"/>
      <protection hidden="1"/>
    </xf>
    <xf numFmtId="0" fontId="28" fillId="0" borderId="0" xfId="37" applyFont="1" applyProtection="1">
      <protection hidden="1"/>
    </xf>
    <xf numFmtId="0" fontId="0" fillId="0" borderId="0" xfId="0" applyFill="1" applyProtection="1">
      <protection hidden="1"/>
    </xf>
    <xf numFmtId="0" fontId="1" fillId="0" borderId="0" xfId="37" applyFont="1" applyFill="1" applyBorder="1" applyProtection="1">
      <protection hidden="1"/>
    </xf>
    <xf numFmtId="0" fontId="1" fillId="0" borderId="0" xfId="37" applyFont="1" applyFill="1" applyProtection="1"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17" fontId="33" fillId="0" borderId="10" xfId="0" applyNumberFormat="1" applyFont="1" applyBorder="1" applyAlignment="1" applyProtection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locked="0" hidden="1"/>
    </xf>
    <xf numFmtId="0" fontId="33" fillId="0" borderId="10" xfId="0" applyNumberFormat="1" applyFont="1" applyBorder="1" applyAlignment="1" applyProtection="1">
      <alignment horizontal="center" vertical="center"/>
      <protection hidden="1"/>
    </xf>
    <xf numFmtId="0" fontId="32" fillId="0" borderId="10" xfId="0" applyNumberFormat="1" applyFont="1" applyBorder="1" applyAlignment="1" applyProtection="1">
      <alignment horizontal="center" vertical="center"/>
      <protection locked="0" hidden="1"/>
    </xf>
    <xf numFmtId="2" fontId="32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 textRotation="90"/>
    </xf>
    <xf numFmtId="0" fontId="32" fillId="0" borderId="10" xfId="0" applyNumberFormat="1" applyFont="1" applyBorder="1" applyAlignment="1" applyProtection="1">
      <alignment horizontal="center" vertical="center" textRotation="90"/>
      <protection hidden="1"/>
    </xf>
    <xf numFmtId="2" fontId="32" fillId="0" borderId="10" xfId="0" applyNumberFormat="1" applyFont="1" applyBorder="1" applyAlignment="1" applyProtection="1">
      <alignment horizontal="center" vertical="center" textRotation="90"/>
      <protection hidden="1"/>
    </xf>
    <xf numFmtId="17" fontId="43" fillId="0" borderId="10" xfId="0" applyNumberFormat="1" applyFont="1" applyBorder="1" applyAlignment="1" applyProtection="1">
      <alignment horizontal="center" vertical="center" wrapText="1"/>
      <protection locked="0"/>
    </xf>
    <xf numFmtId="17" fontId="43" fillId="0" borderId="10" xfId="0" applyNumberFormat="1" applyFont="1" applyFill="1" applyBorder="1" applyAlignment="1" applyProtection="1">
      <alignment horizontal="center" vertical="center"/>
    </xf>
    <xf numFmtId="17" fontId="43" fillId="0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10" xfId="0" applyNumberFormat="1" applyFont="1" applyFill="1" applyBorder="1" applyAlignment="1">
      <alignment vertical="top"/>
    </xf>
    <xf numFmtId="0" fontId="5" fillId="0" borderId="15" xfId="0" applyNumberFormat="1" applyFont="1" applyFill="1" applyBorder="1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4" fillId="0" borderId="10" xfId="0" applyNumberFormat="1" applyFont="1" applyFill="1" applyBorder="1" applyAlignment="1" applyProtection="1">
      <alignment horizontal="center" wrapText="1"/>
      <protection hidden="1"/>
    </xf>
    <xf numFmtId="0" fontId="44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4" fillId="0" borderId="10" xfId="0" applyNumberFormat="1" applyFont="1" applyFill="1" applyBorder="1" applyAlignment="1" applyProtection="1">
      <alignment horizontal="center" vertical="center" wrapText="1"/>
      <protection hidden="1"/>
    </xf>
    <xf numFmtId="0" fontId="56" fillId="0" borderId="0" xfId="0" applyNumberFormat="1" applyFont="1" applyFill="1" applyBorder="1" applyAlignment="1">
      <alignment horizontal="center" vertical="top"/>
    </xf>
    <xf numFmtId="0" fontId="6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0" xfId="0" applyNumberFormat="1" applyFont="1" applyFill="1" applyBorder="1" applyAlignment="1" applyProtection="1">
      <alignment horizontal="center" vertical="center"/>
      <protection hidden="1"/>
    </xf>
    <xf numFmtId="0" fontId="63" fillId="35" borderId="0" xfId="0" applyNumberFormat="1" applyFont="1" applyFill="1" applyBorder="1" applyAlignment="1" applyProtection="1">
      <alignment vertical="center"/>
      <protection hidden="1"/>
    </xf>
    <xf numFmtId="0" fontId="78" fillId="37" borderId="10" xfId="0" applyNumberFormat="1" applyFont="1" applyFill="1" applyBorder="1" applyAlignment="1" applyProtection="1">
      <alignment horizontal="left" vertical="top"/>
      <protection hidden="1"/>
    </xf>
    <xf numFmtId="0" fontId="78" fillId="37" borderId="10" xfId="0" applyNumberFormat="1" applyFont="1" applyFill="1" applyBorder="1" applyAlignment="1" applyProtection="1">
      <alignment horizontal="left" vertical="top"/>
      <protection locked="0" hidden="1"/>
    </xf>
    <xf numFmtId="0" fontId="91" fillId="0" borderId="10" xfId="0" applyNumberFormat="1" applyFont="1" applyBorder="1" applyAlignment="1" applyProtection="1">
      <alignment horizontal="center" vertical="top"/>
      <protection locked="0"/>
    </xf>
    <xf numFmtId="0" fontId="92" fillId="0" borderId="10" xfId="0" applyNumberFormat="1" applyFont="1" applyFill="1" applyBorder="1" applyAlignment="1">
      <alignment horizontal="center" vertical="center"/>
    </xf>
    <xf numFmtId="49" fontId="78" fillId="37" borderId="10" xfId="0" applyNumberFormat="1" applyFont="1" applyFill="1" applyBorder="1" applyAlignment="1" applyProtection="1">
      <alignment horizontal="left" vertical="top"/>
      <protection locked="0" hidden="1"/>
    </xf>
    <xf numFmtId="0" fontId="84" fillId="36" borderId="10" xfId="0" applyFont="1" applyFill="1" applyBorder="1" applyAlignment="1" applyProtection="1">
      <alignment horizontal="center" vertical="center"/>
      <protection hidden="1"/>
    </xf>
    <xf numFmtId="0" fontId="84" fillId="36" borderId="40" xfId="0" applyFont="1" applyFill="1" applyBorder="1" applyAlignment="1" applyProtection="1">
      <alignment horizontal="center" vertical="center"/>
      <protection hidden="1"/>
    </xf>
    <xf numFmtId="0" fontId="82" fillId="34" borderId="0" xfId="0" applyNumberFormat="1" applyFont="1" applyFill="1" applyBorder="1" applyAlignment="1" applyProtection="1">
      <alignment horizontal="center" vertical="center" wrapText="1"/>
      <protection hidden="1"/>
    </xf>
    <xf numFmtId="0" fontId="67" fillId="35" borderId="10" xfId="0" applyNumberFormat="1" applyFont="1" applyFill="1" applyBorder="1" applyAlignment="1" applyProtection="1">
      <alignment horizontal="center"/>
      <protection locked="0" hidden="1"/>
    </xf>
    <xf numFmtId="0" fontId="76" fillId="31" borderId="12" xfId="0" applyNumberFormat="1" applyFont="1" applyFill="1" applyBorder="1" applyAlignment="1" applyProtection="1">
      <alignment horizontal="center" vertical="center"/>
      <protection locked="0" hidden="1"/>
    </xf>
    <xf numFmtId="0" fontId="76" fillId="31" borderId="13" xfId="0" applyNumberFormat="1" applyFont="1" applyFill="1" applyBorder="1" applyAlignment="1" applyProtection="1">
      <alignment horizontal="center" vertical="center"/>
      <protection locked="0" hidden="1"/>
    </xf>
    <xf numFmtId="0" fontId="76" fillId="31" borderId="14" xfId="0" applyNumberFormat="1" applyFont="1" applyFill="1" applyBorder="1" applyAlignment="1" applyProtection="1">
      <alignment horizontal="center" vertical="center"/>
      <protection locked="0" hidden="1"/>
    </xf>
    <xf numFmtId="0" fontId="93" fillId="35" borderId="0" xfId="0" applyNumberFormat="1" applyFont="1" applyFill="1" applyBorder="1" applyAlignment="1" applyProtection="1">
      <alignment horizontal="left" vertical="top"/>
      <protection hidden="1"/>
    </xf>
    <xf numFmtId="0" fontId="76" fillId="35" borderId="0" xfId="0" applyNumberFormat="1" applyFont="1" applyFill="1" applyBorder="1" applyAlignment="1" applyProtection="1">
      <alignment horizontal="center" vertical="center"/>
      <protection hidden="1"/>
    </xf>
    <xf numFmtId="0" fontId="76" fillId="31" borderId="10" xfId="0" applyNumberFormat="1" applyFont="1" applyFill="1" applyBorder="1" applyAlignment="1" applyProtection="1">
      <alignment horizontal="center" vertical="center"/>
      <protection locked="0" hidden="1"/>
    </xf>
    <xf numFmtId="0" fontId="90" fillId="35" borderId="0" xfId="0" applyFont="1" applyFill="1" applyAlignment="1" applyProtection="1">
      <protection hidden="1"/>
    </xf>
    <xf numFmtId="0" fontId="90" fillId="35" borderId="35" xfId="0" applyFont="1" applyFill="1" applyBorder="1" applyAlignment="1" applyProtection="1">
      <protection hidden="1"/>
    </xf>
    <xf numFmtId="0" fontId="65" fillId="35" borderId="12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14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36" xfId="0" applyNumberFormat="1" applyFont="1" applyFill="1" applyBorder="1" applyAlignment="1" applyProtection="1">
      <alignment horizontal="left" vertical="center" indent="1"/>
      <protection hidden="1"/>
    </xf>
    <xf numFmtId="0" fontId="63" fillId="35" borderId="0" xfId="0" applyNumberFormat="1" applyFont="1" applyFill="1" applyBorder="1" applyAlignment="1" applyProtection="1">
      <alignment horizontal="left" vertical="center" indent="1"/>
      <protection hidden="1"/>
    </xf>
    <xf numFmtId="0" fontId="63" fillId="35" borderId="35" xfId="0" applyNumberFormat="1" applyFont="1" applyFill="1" applyBorder="1" applyAlignment="1" applyProtection="1">
      <alignment horizontal="left" vertical="center" indent="1"/>
      <protection hidden="1"/>
    </xf>
    <xf numFmtId="0" fontId="76" fillId="35" borderId="0" xfId="0" applyNumberFormat="1" applyFont="1" applyFill="1" applyBorder="1" applyAlignment="1" applyProtection="1">
      <alignment horizontal="left" vertical="center"/>
      <protection hidden="1"/>
    </xf>
    <xf numFmtId="0" fontId="78" fillId="37" borderId="40" xfId="0" applyNumberFormat="1" applyFont="1" applyFill="1" applyBorder="1" applyAlignment="1" applyProtection="1">
      <alignment horizontal="center" vertical="top"/>
      <protection hidden="1"/>
    </xf>
    <xf numFmtId="0" fontId="78" fillId="37" borderId="15" xfId="0" applyNumberFormat="1" applyFont="1" applyFill="1" applyBorder="1" applyAlignment="1" applyProtection="1">
      <alignment horizontal="center" vertical="top"/>
      <protection hidden="1"/>
    </xf>
    <xf numFmtId="0" fontId="78" fillId="37" borderId="12" xfId="0" applyNumberFormat="1" applyFont="1" applyFill="1" applyBorder="1" applyAlignment="1" applyProtection="1">
      <alignment horizontal="center" vertical="top"/>
      <protection hidden="1"/>
    </xf>
    <xf numFmtId="0" fontId="78" fillId="37" borderId="13" xfId="0" applyNumberFormat="1" applyFont="1" applyFill="1" applyBorder="1" applyAlignment="1" applyProtection="1">
      <alignment horizontal="center" vertical="top"/>
      <protection hidden="1"/>
    </xf>
    <xf numFmtId="0" fontId="78" fillId="37" borderId="14" xfId="0" applyNumberFormat="1" applyFont="1" applyFill="1" applyBorder="1" applyAlignment="1" applyProtection="1">
      <alignment horizontal="center" vertical="top"/>
      <protection hidden="1"/>
    </xf>
    <xf numFmtId="0" fontId="78" fillId="37" borderId="12" xfId="0" applyNumberFormat="1" applyFont="1" applyFill="1" applyBorder="1" applyAlignment="1" applyProtection="1">
      <alignment horizontal="center" vertical="top"/>
      <protection locked="0" hidden="1"/>
    </xf>
    <xf numFmtId="0" fontId="0" fillId="0" borderId="13" xfId="0" applyBorder="1" applyProtection="1">
      <protection locked="0" hidden="1"/>
    </xf>
    <xf numFmtId="0" fontId="0" fillId="0" borderId="14" xfId="0" applyBorder="1" applyProtection="1">
      <protection locked="0" hidden="1"/>
    </xf>
    <xf numFmtId="0" fontId="78" fillId="37" borderId="13" xfId="0" applyNumberFormat="1" applyFont="1" applyFill="1" applyBorder="1" applyAlignment="1" applyProtection="1">
      <alignment horizontal="center" vertical="top"/>
      <protection locked="0" hidden="1"/>
    </xf>
    <xf numFmtId="0" fontId="78" fillId="37" borderId="14" xfId="0" applyNumberFormat="1" applyFont="1" applyFill="1" applyBorder="1" applyAlignment="1" applyProtection="1">
      <alignment horizontal="center" vertical="top"/>
      <protection locked="0" hidden="1"/>
    </xf>
    <xf numFmtId="0" fontId="78" fillId="37" borderId="10" xfId="0" applyNumberFormat="1" applyFont="1" applyFill="1" applyBorder="1" applyAlignment="1" applyProtection="1">
      <alignment horizontal="left" vertical="top" wrapText="1"/>
      <protection locked="0" hidden="1"/>
    </xf>
    <xf numFmtId="0" fontId="90" fillId="37" borderId="10" xfId="0" applyFont="1" applyFill="1" applyBorder="1" applyProtection="1">
      <protection locked="0" hidden="1"/>
    </xf>
    <xf numFmtId="165" fontId="77" fillId="37" borderId="12" xfId="0" applyNumberFormat="1" applyFont="1" applyFill="1" applyBorder="1" applyAlignment="1" applyProtection="1">
      <alignment horizontal="center" vertical="center"/>
      <protection locked="0" hidden="1"/>
    </xf>
    <xf numFmtId="165" fontId="77" fillId="37" borderId="13" xfId="0" applyNumberFormat="1" applyFont="1" applyFill="1" applyBorder="1" applyAlignment="1" applyProtection="1">
      <alignment horizontal="center" vertical="center"/>
      <protection locked="0" hidden="1"/>
    </xf>
    <xf numFmtId="165" fontId="77" fillId="37" borderId="14" xfId="0" applyNumberFormat="1" applyFont="1" applyFill="1" applyBorder="1" applyAlignment="1" applyProtection="1">
      <alignment horizontal="center" vertical="center"/>
      <protection locked="0" hidden="1"/>
    </xf>
    <xf numFmtId="0" fontId="75" fillId="33" borderId="0" xfId="0" applyFont="1" applyFill="1" applyAlignment="1">
      <alignment horizontal="center" vertical="center"/>
    </xf>
    <xf numFmtId="0" fontId="74" fillId="33" borderId="0" xfId="0" applyFont="1" applyFill="1" applyAlignment="1">
      <alignment horizontal="center" vertical="center"/>
    </xf>
    <xf numFmtId="2" fontId="72" fillId="31" borderId="0" xfId="0" applyNumberFormat="1" applyFont="1" applyFill="1" applyBorder="1" applyAlignment="1">
      <alignment horizontal="center" vertical="center"/>
    </xf>
    <xf numFmtId="2" fontId="65" fillId="27" borderId="11" xfId="0" applyNumberFormat="1" applyFont="1" applyFill="1" applyBorder="1" applyAlignment="1">
      <alignment horizontal="center" vertical="center"/>
    </xf>
    <xf numFmtId="1" fontId="83" fillId="30" borderId="0" xfId="0" applyNumberFormat="1" applyFont="1" applyFill="1" applyBorder="1" applyAlignment="1">
      <alignment horizontal="center" vertical="center" wrapText="1"/>
    </xf>
    <xf numFmtId="1" fontId="70" fillId="29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71" fillId="29" borderId="0" xfId="0" applyNumberFormat="1" applyFont="1" applyFill="1" applyBorder="1" applyAlignment="1">
      <alignment horizontal="center" vertical="center"/>
    </xf>
    <xf numFmtId="0" fontId="1" fillId="0" borderId="22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8" fillId="0" borderId="0" xfId="37" applyFont="1" applyFill="1" applyAlignment="1">
      <alignment horizontal="center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46" fillId="0" borderId="0" xfId="37" applyFont="1" applyAlignment="1" applyProtection="1">
      <alignment horizontal="center" vertical="center"/>
      <protection hidden="1"/>
    </xf>
    <xf numFmtId="0" fontId="5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9" fillId="0" borderId="10" xfId="37" applyFont="1" applyFill="1" applyBorder="1" applyAlignment="1" applyProtection="1">
      <alignment horizontal="left" vertical="center" wrapText="1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top" wrapText="1"/>
      <protection hidden="1"/>
    </xf>
    <xf numFmtId="0" fontId="6" fillId="0" borderId="13" xfId="37" applyFont="1" applyBorder="1" applyAlignment="1" applyProtection="1">
      <alignment horizontal="left" vertical="top" wrapText="1"/>
      <protection hidden="1"/>
    </xf>
    <xf numFmtId="0" fontId="6" fillId="0" borderId="14" xfId="37" applyFont="1" applyBorder="1" applyAlignment="1" applyProtection="1">
      <alignment horizontal="left" vertical="top" wrapText="1"/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42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5" fillId="0" borderId="0" xfId="37" applyFont="1" applyFill="1" applyAlignment="1" applyProtection="1">
      <alignment horizontal="center" vertical="top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1" fillId="0" borderId="12" xfId="37" applyFont="1" applyFill="1" applyBorder="1" applyAlignment="1" applyProtection="1">
      <alignment horizontal="center" vertical="center"/>
      <protection hidden="1"/>
    </xf>
    <xf numFmtId="0" fontId="1" fillId="0" borderId="13" xfId="37" applyFont="1" applyFill="1" applyBorder="1" applyAlignment="1" applyProtection="1">
      <alignment horizontal="center" vertical="center"/>
      <protection hidden="1"/>
    </xf>
    <xf numFmtId="0" fontId="1" fillId="0" borderId="14" xfId="37" applyFont="1" applyFill="1" applyBorder="1" applyAlignment="1" applyProtection="1">
      <alignment horizontal="center" vertical="center"/>
      <protection hidden="1"/>
    </xf>
    <xf numFmtId="0" fontId="1" fillId="26" borderId="0" xfId="37" applyFont="1" applyFill="1" applyAlignment="1">
      <alignment horizontal="center"/>
    </xf>
    <xf numFmtId="0" fontId="55" fillId="0" borderId="0" xfId="37" applyFont="1" applyFill="1" applyAlignment="1">
      <alignment horizontal="center" vertical="top" wrapText="1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24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43" fillId="0" borderId="12" xfId="37" applyFont="1" applyBorder="1" applyAlignment="1">
      <alignment horizontal="center" vertical="center"/>
    </xf>
    <xf numFmtId="0" fontId="43" fillId="0" borderId="13" xfId="37" applyFont="1" applyBorder="1" applyAlignment="1">
      <alignment horizontal="center" vertical="center"/>
    </xf>
    <xf numFmtId="0" fontId="43" fillId="0" borderId="14" xfId="37" applyFont="1" applyBorder="1" applyAlignment="1">
      <alignment horizontal="center" vertical="center"/>
    </xf>
    <xf numFmtId="9" fontId="43" fillId="0" borderId="10" xfId="37" applyNumberFormat="1" applyFont="1" applyBorder="1" applyAlignment="1">
      <alignment horizontal="center" vertical="center"/>
    </xf>
    <xf numFmtId="0" fontId="43" fillId="0" borderId="10" xfId="37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2" fillId="0" borderId="21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Fill="1" applyBorder="1" applyAlignment="1">
      <alignment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0" xfId="37" applyFont="1" applyFill="1" applyBorder="1" applyAlignment="1">
      <alignment horizontal="left" vertical="center"/>
    </xf>
    <xf numFmtId="0" fontId="33" fillId="0" borderId="12" xfId="37" applyFont="1" applyBorder="1" applyAlignment="1">
      <alignment horizontal="left" vertical="center"/>
    </xf>
    <xf numFmtId="0" fontId="33" fillId="0" borderId="13" xfId="37" applyFont="1" applyBorder="1" applyAlignment="1">
      <alignment horizontal="left" vertical="center"/>
    </xf>
    <xf numFmtId="0" fontId="33" fillId="0" borderId="14" xfId="37" applyFont="1" applyBorder="1" applyAlignment="1">
      <alignment horizontal="left" vertical="center"/>
    </xf>
    <xf numFmtId="0" fontId="1" fillId="0" borderId="12" xfId="37" applyFont="1" applyFill="1" applyBorder="1" applyAlignment="1">
      <alignment horizontal="center" vertical="center"/>
    </xf>
    <xf numFmtId="0" fontId="1" fillId="0" borderId="13" xfId="37" applyFont="1" applyFill="1" applyBorder="1" applyAlignment="1">
      <alignment horizontal="center" vertical="center"/>
    </xf>
    <xf numFmtId="0" fontId="1" fillId="0" borderId="14" xfId="37" applyFont="1" applyFill="1" applyBorder="1" applyAlignment="1">
      <alignment horizontal="center" vertical="center"/>
    </xf>
    <xf numFmtId="0" fontId="46" fillId="0" borderId="0" xfId="37" applyFont="1" applyAlignment="1">
      <alignment horizontal="center" vertical="center"/>
    </xf>
    <xf numFmtId="0" fontId="57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0" xfId="37" applyFont="1" applyBorder="1" applyAlignment="1">
      <alignment horizontal="center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2" fontId="33" fillId="0" borderId="10" xfId="37" applyNumberFormat="1" applyFont="1" applyBorder="1" applyAlignment="1">
      <alignment horizontal="center" vertical="center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1" fillId="0" borderId="15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9" fillId="0" borderId="10" xfId="37" applyFont="1" applyFill="1" applyBorder="1" applyAlignment="1">
      <alignment horizontal="left" vertical="center" wrapText="1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/>
      <protection locked="0"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28" xfId="0" applyBorder="1" applyAlignment="1" applyProtection="1">
      <alignment horizontal="center"/>
      <protection locked="0" hidden="1"/>
    </xf>
    <xf numFmtId="0" fontId="0" fillId="0" borderId="29" xfId="0" applyBorder="1" applyAlignment="1" applyProtection="1">
      <alignment horizontal="center"/>
      <protection locked="0" hidden="1"/>
    </xf>
    <xf numFmtId="0" fontId="4" fillId="0" borderId="10" xfId="0" applyFont="1" applyBorder="1" applyAlignment="1">
      <alignment horizontal="center" vertical="center"/>
    </xf>
    <xf numFmtId="164" fontId="0" fillId="0" borderId="10" xfId="0" applyNumberFormat="1" applyBorder="1" applyAlignment="1" applyProtection="1">
      <alignment horizontal="center" vertical="center"/>
      <protection locked="0"/>
    </xf>
    <xf numFmtId="0" fontId="85" fillId="0" borderId="41" xfId="0" applyFont="1" applyBorder="1" applyAlignment="1">
      <alignment horizontal="center"/>
    </xf>
    <xf numFmtId="0" fontId="85" fillId="0" borderId="42" xfId="0" applyFont="1" applyBorder="1" applyAlignment="1">
      <alignment horizontal="center"/>
    </xf>
    <xf numFmtId="0" fontId="85" fillId="0" borderId="43" xfId="0" applyFont="1" applyBorder="1" applyAlignment="1">
      <alignment horizontal="center"/>
    </xf>
    <xf numFmtId="0" fontId="86" fillId="0" borderId="44" xfId="0" applyFont="1" applyBorder="1" applyAlignment="1">
      <alignment horizontal="center"/>
    </xf>
    <xf numFmtId="0" fontId="86" fillId="0" borderId="0" xfId="0" applyFont="1" applyBorder="1" applyAlignment="1">
      <alignment horizontal="center"/>
    </xf>
    <xf numFmtId="0" fontId="86" fillId="0" borderId="37" xfId="0" applyFont="1" applyBorder="1" applyAlignment="1">
      <alignment horizontal="center"/>
    </xf>
    <xf numFmtId="2" fontId="87" fillId="0" borderId="0" xfId="0" applyNumberFormat="1" applyFon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10" xfId="0" applyBorder="1" applyAlignment="1" applyProtection="1">
      <alignment horizontal="left" vertical="center"/>
      <protection locked="0" hidden="1"/>
    </xf>
    <xf numFmtId="0" fontId="0" fillId="0" borderId="21" xfId="0" applyBorder="1" applyAlignment="1" applyProtection="1">
      <alignment horizontal="left" vertical="center"/>
      <protection locked="0" hidden="1"/>
    </xf>
    <xf numFmtId="0" fontId="0" fillId="0" borderId="37" xfId="0" applyBorder="1" applyAlignment="1">
      <alignment horizontal="center" vertical="center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A50021"/>
      <color rgb="FF0000FF"/>
      <color rgb="FFFFFF00"/>
      <color rgb="FFFF99CC"/>
      <color rgb="FF00FF00"/>
      <color rgb="FFFF66CC"/>
      <color rgb="FF33CCCC"/>
      <color rgb="FFFFCC99"/>
      <color rgb="FFCCFF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59320</xdr:colOff>
      <xdr:row>1</xdr:row>
      <xdr:rowOff>50154</xdr:rowOff>
    </xdr:from>
    <xdr:to>
      <xdr:col>26</xdr:col>
      <xdr:colOff>115802</xdr:colOff>
      <xdr:row>1</xdr:row>
      <xdr:rowOff>276214</xdr:rowOff>
    </xdr:to>
    <xdr:sp macro="" textlink="">
      <xdr:nvSpPr>
        <xdr:cNvPr id="2" name="Right Arrow 1"/>
        <xdr:cNvSpPr/>
      </xdr:nvSpPr>
      <xdr:spPr>
        <a:xfrm>
          <a:off x="10600320" y="245539"/>
          <a:ext cx="1346020" cy="22606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2</xdr:row>
      <xdr:rowOff>51155</xdr:rowOff>
    </xdr:from>
    <xdr:to>
      <xdr:col>23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125507</xdr:colOff>
      <xdr:row>4</xdr:row>
      <xdr:rowOff>41072</xdr:rowOff>
    </xdr:from>
    <xdr:to>
      <xdr:col>14</xdr:col>
      <xdr:colOff>370355</xdr:colOff>
      <xdr:row>4</xdr:row>
      <xdr:rowOff>276522</xdr:rowOff>
    </xdr:to>
    <xdr:sp macro="" textlink="">
      <xdr:nvSpPr>
        <xdr:cNvPr id="5" name="Right Arrow 4"/>
        <xdr:cNvSpPr/>
      </xdr:nvSpPr>
      <xdr:spPr>
        <a:xfrm>
          <a:off x="5316072" y="1009260"/>
          <a:ext cx="728942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24</xdr:col>
      <xdr:colOff>91911</xdr:colOff>
      <xdr:row>4</xdr:row>
      <xdr:rowOff>32107</xdr:rowOff>
    </xdr:from>
    <xdr:to>
      <xdr:col>25</xdr:col>
      <xdr:colOff>395641</xdr:colOff>
      <xdr:row>4</xdr:row>
      <xdr:rowOff>267557</xdr:rowOff>
    </xdr:to>
    <xdr:sp macro="" textlink="">
      <xdr:nvSpPr>
        <xdr:cNvPr id="6" name="Right Arrow 5"/>
        <xdr:cNvSpPr/>
      </xdr:nvSpPr>
      <xdr:spPr>
        <a:xfrm>
          <a:off x="9700731" y="717907"/>
          <a:ext cx="71521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30</xdr:col>
      <xdr:colOff>457200</xdr:colOff>
      <xdr:row>2</xdr:row>
      <xdr:rowOff>15132</xdr:rowOff>
    </xdr:from>
    <xdr:to>
      <xdr:col>30</xdr:col>
      <xdr:colOff>630738</xdr:colOff>
      <xdr:row>3</xdr:row>
      <xdr:rowOff>242048</xdr:rowOff>
    </xdr:to>
    <xdr:sp macro="" textlink="">
      <xdr:nvSpPr>
        <xdr:cNvPr id="7" name="Right Arrow 6"/>
        <xdr:cNvSpPr/>
      </xdr:nvSpPr>
      <xdr:spPr>
        <a:xfrm rot="5400000">
          <a:off x="13223146" y="579704"/>
          <a:ext cx="513787" cy="173538"/>
        </a:xfrm>
        <a:prstGeom prst="rightArrow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0</xdr:colOff>
      <xdr:row>5</xdr:row>
      <xdr:rowOff>30480</xdr:rowOff>
    </xdr:from>
    <xdr:to>
      <xdr:col>9</xdr:col>
      <xdr:colOff>246580</xdr:colOff>
      <xdr:row>5</xdr:row>
      <xdr:rowOff>265930</xdr:rowOff>
    </xdr:to>
    <xdr:sp macro="" textlink="">
      <xdr:nvSpPr>
        <xdr:cNvPr id="15" name="Right Arrow 14"/>
        <xdr:cNvSpPr/>
      </xdr:nvSpPr>
      <xdr:spPr>
        <a:xfrm>
          <a:off x="3147060" y="99822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19</xdr:col>
      <xdr:colOff>30480</xdr:colOff>
      <xdr:row>5</xdr:row>
      <xdr:rowOff>45720</xdr:rowOff>
    </xdr:from>
    <xdr:to>
      <xdr:col>20</xdr:col>
      <xdr:colOff>414220</xdr:colOff>
      <xdr:row>5</xdr:row>
      <xdr:rowOff>281170</xdr:rowOff>
    </xdr:to>
    <xdr:sp macro="" textlink="">
      <xdr:nvSpPr>
        <xdr:cNvPr id="16" name="Right Arrow 15"/>
        <xdr:cNvSpPr/>
      </xdr:nvSpPr>
      <xdr:spPr>
        <a:xfrm>
          <a:off x="7459980" y="101346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3</xdr:row>
      <xdr:rowOff>51155</xdr:rowOff>
    </xdr:from>
    <xdr:to>
      <xdr:col>23</xdr:col>
      <xdr:colOff>324599</xdr:colOff>
      <xdr:row>3</xdr:row>
      <xdr:rowOff>286605</xdr:rowOff>
    </xdr:to>
    <xdr:sp macro="" textlink="">
      <xdr:nvSpPr>
        <xdr:cNvPr id="11" name="Right Arrow 10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13</xdr:row>
      <xdr:rowOff>225425</xdr:rowOff>
    </xdr:from>
    <xdr:to>
      <xdr:col>9</xdr:col>
      <xdr:colOff>241300</xdr:colOff>
      <xdr:row>16</xdr:row>
      <xdr:rowOff>206375</xdr:rowOff>
    </xdr:to>
    <xdr:sp macro="" textlink="">
      <xdr:nvSpPr>
        <xdr:cNvPr id="2" name="Rounded Rectangle 1"/>
        <xdr:cNvSpPr/>
      </xdr:nvSpPr>
      <xdr:spPr>
        <a:xfrm>
          <a:off x="5057775" y="4276725"/>
          <a:ext cx="1158875" cy="11049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GB" sz="1100"/>
            <a:t>REVENUE</a:t>
          </a:r>
          <a:r>
            <a:rPr lang="en-GB" sz="1100" baseline="0"/>
            <a:t> STAMP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L956"/>
  <sheetViews>
    <sheetView showGridLines="0" tabSelected="1" topLeftCell="C1" zoomScale="74" zoomScaleNormal="74" workbookViewId="0">
      <selection activeCell="R12" sqref="R12"/>
    </sheetView>
  </sheetViews>
  <sheetFormatPr defaultColWidth="9.1796875" defaultRowHeight="12.5" zeroHeight="1"/>
  <cols>
    <col min="1" max="1" width="0.453125" style="43" customWidth="1" collapsed="1"/>
    <col min="2" max="2" width="5.1796875" style="6" hidden="1" customWidth="1" collapsed="1"/>
    <col min="3" max="3" width="18" style="188" customWidth="1" collapsed="1"/>
    <col min="4" max="4" width="9.36328125" style="188" customWidth="1" collapsed="1"/>
    <col min="5" max="5" width="5.54296875" style="188" customWidth="1" collapsed="1"/>
    <col min="6" max="7" width="5.81640625" style="188" customWidth="1" collapsed="1"/>
    <col min="8" max="8" width="9.36328125" style="188" customWidth="1" collapsed="1"/>
    <col min="9" max="9" width="7.6328125" style="188" customWidth="1" collapsed="1"/>
    <col min="10" max="10" width="4" style="188" customWidth="1" collapsed="1"/>
    <col min="11" max="12" width="6" style="188" customWidth="1" collapsed="1"/>
    <col min="13" max="13" width="4.81640625" style="188" customWidth="1" collapsed="1"/>
    <col min="14" max="14" width="9.81640625" style="188" customWidth="1" collapsed="1"/>
    <col min="15" max="15" width="8.54296875" style="188" customWidth="1" collapsed="1"/>
    <col min="16" max="16" width="5.81640625" style="188" customWidth="1" collapsed="1"/>
    <col min="17" max="17" width="7.81640625" style="188" customWidth="1" collapsed="1"/>
    <col min="18" max="18" width="7.1796875" style="188" customWidth="1"/>
    <col min="19" max="19" width="6" style="188" customWidth="1" collapsed="1"/>
    <col min="20" max="20" width="5.81640625" style="188" customWidth="1" collapsed="1"/>
    <col min="21" max="21" width="8.36328125" style="188" customWidth="1" collapsed="1"/>
    <col min="22" max="22" width="8" style="188" bestFit="1" customWidth="1" collapsed="1"/>
    <col min="23" max="23" width="4.1796875" style="188" customWidth="1" collapsed="1"/>
    <col min="24" max="24" width="4.6328125" style="188" customWidth="1" collapsed="1"/>
    <col min="25" max="25" width="6.81640625" style="188" customWidth="1" collapsed="1"/>
    <col min="26" max="26" width="7.1796875" style="188" customWidth="1" collapsed="1"/>
    <col min="27" max="27" width="5.453125" style="188" customWidth="1"/>
    <col min="28" max="28" width="7.453125" style="188" customWidth="1" collapsed="1"/>
    <col min="29" max="29" width="12.1796875" style="188" customWidth="1" collapsed="1"/>
    <col min="30" max="30" width="14.81640625" style="188" customWidth="1" collapsed="1"/>
    <col min="31" max="31" width="16.1796875" style="188" customWidth="1" collapsed="1"/>
    <col min="32" max="32" width="0.1796875" style="6" hidden="1" customWidth="1" collapsed="1"/>
    <col min="33" max="33" width="0.453125" style="6" hidden="1" customWidth="1" collapsed="1"/>
    <col min="34" max="34" width="9.1796875" style="6" hidden="1" customWidth="1" collapsed="1"/>
    <col min="35" max="35" width="17.90625" style="6" hidden="1" customWidth="1" collapsed="1"/>
    <col min="36" max="36" width="43.90625" style="6" customWidth="1" collapsed="1"/>
    <col min="37" max="37" width="15.81640625" style="6" customWidth="1" collapsed="1"/>
    <col min="38" max="38" width="20.81640625" style="6" customWidth="1" collapsed="1"/>
    <col min="39" max="39" width="14.453125" style="6" customWidth="1" collapsed="1"/>
    <col min="40" max="40" width="10" style="6" customWidth="1" collapsed="1"/>
    <col min="41" max="51" width="9.1796875" style="6" customWidth="1" collapsed="1"/>
    <col min="52" max="16384" width="9.1796875" style="6" collapsed="1"/>
  </cols>
  <sheetData>
    <row r="1" spans="1:35" ht="15" customHeight="1">
      <c r="C1" s="209" t="s">
        <v>212</v>
      </c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</row>
    <row r="2" spans="1:35" ht="26" customHeight="1">
      <c r="C2" s="209"/>
      <c r="D2" s="214" t="s">
        <v>244</v>
      </c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102"/>
      <c r="Z2" s="102"/>
      <c r="AA2" s="102"/>
      <c r="AB2" s="198" t="s">
        <v>218</v>
      </c>
      <c r="AC2" s="198"/>
      <c r="AD2" s="102"/>
      <c r="AE2" s="103" t="s">
        <v>149</v>
      </c>
    </row>
    <row r="3" spans="1:35" ht="26" customHeight="1">
      <c r="C3" s="209"/>
      <c r="D3" s="201" t="s">
        <v>214</v>
      </c>
      <c r="E3" s="217"/>
      <c r="F3" s="217"/>
      <c r="G3" s="217"/>
      <c r="H3" s="217"/>
      <c r="I3" s="217"/>
      <c r="J3" s="217"/>
      <c r="K3" s="218"/>
      <c r="L3" s="219" t="s">
        <v>218</v>
      </c>
      <c r="M3" s="220"/>
      <c r="N3" s="221" t="s">
        <v>112</v>
      </c>
      <c r="O3" s="222"/>
      <c r="P3" s="222"/>
      <c r="Q3" s="222"/>
      <c r="R3" s="222"/>
      <c r="S3" s="222"/>
      <c r="T3" s="222"/>
      <c r="U3" s="222"/>
      <c r="V3" s="222"/>
      <c r="W3" s="222"/>
      <c r="X3" s="223"/>
      <c r="Y3" s="210">
        <v>7</v>
      </c>
      <c r="Z3" s="210"/>
      <c r="AA3" s="114"/>
      <c r="AB3" s="104"/>
      <c r="AC3" s="102"/>
      <c r="AD3" s="102"/>
      <c r="AE3" s="102"/>
    </row>
    <row r="4" spans="1:35" ht="26" customHeight="1">
      <c r="C4" s="209"/>
      <c r="D4" s="201" t="s">
        <v>215</v>
      </c>
      <c r="E4" s="217"/>
      <c r="F4" s="217"/>
      <c r="G4" s="217"/>
      <c r="H4" s="217"/>
      <c r="I4" s="217"/>
      <c r="J4" s="217"/>
      <c r="K4" s="218"/>
      <c r="L4" s="198" t="s">
        <v>197</v>
      </c>
      <c r="M4" s="198"/>
      <c r="N4" s="221" t="s">
        <v>112</v>
      </c>
      <c r="O4" s="222"/>
      <c r="P4" s="222"/>
      <c r="Q4" s="222"/>
      <c r="R4" s="222"/>
      <c r="S4" s="222"/>
      <c r="T4" s="222"/>
      <c r="U4" s="222"/>
      <c r="V4" s="222"/>
      <c r="W4" s="222"/>
      <c r="X4" s="223"/>
      <c r="Y4" s="210">
        <v>7</v>
      </c>
      <c r="Z4" s="210"/>
      <c r="AA4" s="114"/>
      <c r="AB4" s="104"/>
      <c r="AC4" s="102"/>
      <c r="AD4" s="102"/>
      <c r="AE4" s="102"/>
    </row>
    <row r="5" spans="1:35" ht="26" customHeight="1">
      <c r="C5" s="209"/>
      <c r="D5" s="201" t="s">
        <v>211</v>
      </c>
      <c r="E5" s="201"/>
      <c r="F5" s="201"/>
      <c r="G5" s="201"/>
      <c r="H5" s="201"/>
      <c r="I5" s="201"/>
      <c r="J5" s="201"/>
      <c r="K5" s="201"/>
      <c r="L5" s="201"/>
      <c r="M5" s="201"/>
      <c r="N5" s="105"/>
      <c r="O5" s="105"/>
      <c r="P5" s="198" t="s">
        <v>218</v>
      </c>
      <c r="Q5" s="198"/>
      <c r="R5" s="106"/>
      <c r="S5" s="200" t="s">
        <v>208</v>
      </c>
      <c r="T5" s="200"/>
      <c r="U5" s="200"/>
      <c r="V5" s="200"/>
      <c r="W5" s="200"/>
      <c r="X5" s="200"/>
      <c r="Y5" s="107"/>
      <c r="Z5" s="107"/>
      <c r="AA5" s="107"/>
      <c r="AB5" s="199" t="s">
        <v>218</v>
      </c>
      <c r="AC5" s="199"/>
      <c r="AD5" s="102"/>
      <c r="AE5" s="108">
        <v>0.08</v>
      </c>
    </row>
    <row r="6" spans="1:35" ht="26" customHeight="1">
      <c r="C6" s="209"/>
      <c r="D6" s="224" t="s">
        <v>206</v>
      </c>
      <c r="E6" s="224"/>
      <c r="F6" s="224"/>
      <c r="G6" s="224"/>
      <c r="H6" s="224"/>
      <c r="I6" s="99"/>
      <c r="J6" s="99"/>
      <c r="K6" s="216">
        <v>90400</v>
      </c>
      <c r="L6" s="216"/>
      <c r="M6" s="216"/>
      <c r="N6" s="215" t="s">
        <v>200</v>
      </c>
      <c r="O6" s="215"/>
      <c r="P6" s="215"/>
      <c r="Q6" s="215"/>
      <c r="R6" s="215"/>
      <c r="S6" s="215"/>
      <c r="T6" s="100"/>
      <c r="U6" s="100"/>
      <c r="V6" s="211" t="s">
        <v>203</v>
      </c>
      <c r="W6" s="212"/>
      <c r="X6" s="212"/>
      <c r="Y6" s="212"/>
      <c r="Z6" s="212"/>
      <c r="AA6" s="213"/>
      <c r="AB6" s="207" t="s">
        <v>209</v>
      </c>
      <c r="AC6" s="207"/>
      <c r="AD6" s="207"/>
      <c r="AE6" s="207"/>
    </row>
    <row r="7" spans="1:35" ht="7.25" customHeight="1">
      <c r="C7" s="209"/>
      <c r="D7" s="109"/>
      <c r="E7" s="109"/>
      <c r="F7" s="109"/>
      <c r="G7" s="109"/>
      <c r="H7" s="109"/>
      <c r="I7" s="110"/>
      <c r="J7" s="110"/>
      <c r="K7" s="111"/>
      <c r="L7" s="111"/>
      <c r="M7" s="110"/>
      <c r="N7" s="111"/>
      <c r="O7" s="111"/>
      <c r="P7" s="111"/>
      <c r="Q7" s="111"/>
      <c r="R7" s="111"/>
      <c r="S7" s="111"/>
      <c r="T7" s="112"/>
      <c r="U7" s="112"/>
      <c r="V7" s="113"/>
      <c r="W7" s="113"/>
      <c r="X7" s="113"/>
      <c r="Y7" s="113"/>
      <c r="Z7" s="113"/>
      <c r="AA7" s="113"/>
      <c r="AB7" s="208"/>
      <c r="AC7" s="208"/>
      <c r="AD7" s="208"/>
      <c r="AE7" s="208"/>
    </row>
    <row r="8" spans="1:35" ht="36" customHeight="1">
      <c r="C8" s="204" t="s">
        <v>178</v>
      </c>
      <c r="D8" s="204"/>
      <c r="E8" s="204"/>
      <c r="F8" s="204"/>
      <c r="G8" s="204"/>
      <c r="H8" s="204"/>
      <c r="I8" s="204"/>
      <c r="J8" s="204"/>
      <c r="K8" s="204"/>
      <c r="L8" s="204"/>
      <c r="M8" s="204"/>
      <c r="N8" s="204"/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</row>
    <row r="9" spans="1:35" ht="30.65" customHeight="1">
      <c r="C9" s="205" t="s">
        <v>193</v>
      </c>
      <c r="D9" s="205"/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  <c r="Q9" s="205"/>
      <c r="R9" s="205"/>
      <c r="S9" s="205"/>
      <c r="T9" s="205"/>
      <c r="U9" s="205"/>
      <c r="V9" s="205"/>
      <c r="W9" s="205"/>
      <c r="X9" s="205"/>
      <c r="Y9" s="205"/>
      <c r="Z9" s="205"/>
      <c r="AA9" s="205"/>
      <c r="AB9" s="205"/>
      <c r="AC9" s="205"/>
      <c r="AD9" s="205"/>
      <c r="AE9" s="205"/>
      <c r="AI9" s="94"/>
    </row>
    <row r="10" spans="1:35" s="26" customFormat="1" ht="25.75" customHeight="1">
      <c r="A10" s="46"/>
      <c r="C10" s="225" t="s">
        <v>179</v>
      </c>
      <c r="D10" s="235" t="s">
        <v>249</v>
      </c>
      <c r="E10" s="236"/>
      <c r="F10" s="236"/>
      <c r="G10" s="236"/>
      <c r="H10" s="236"/>
      <c r="I10" s="227" t="s">
        <v>248</v>
      </c>
      <c r="J10" s="228"/>
      <c r="K10" s="228"/>
      <c r="L10" s="228"/>
      <c r="M10" s="228"/>
      <c r="N10" s="229"/>
      <c r="O10" s="230" t="s">
        <v>250</v>
      </c>
      <c r="P10" s="233"/>
      <c r="Q10" s="233"/>
      <c r="R10" s="233"/>
      <c r="S10" s="234"/>
      <c r="T10" s="227" t="s">
        <v>247</v>
      </c>
      <c r="U10" s="229"/>
      <c r="V10" s="230" t="s">
        <v>251</v>
      </c>
      <c r="W10" s="231"/>
      <c r="X10" s="231"/>
      <c r="Y10" s="231"/>
      <c r="Z10" s="231"/>
      <c r="AA10" s="232"/>
      <c r="AB10" s="202" t="s">
        <v>180</v>
      </c>
      <c r="AC10" s="202"/>
      <c r="AD10" s="206" t="s">
        <v>252</v>
      </c>
      <c r="AE10" s="206"/>
      <c r="AI10" s="95"/>
    </row>
    <row r="11" spans="1:35" s="26" customFormat="1" ht="22.25" customHeight="1">
      <c r="A11" s="46"/>
      <c r="C11" s="226"/>
      <c r="D11" s="236"/>
      <c r="E11" s="236"/>
      <c r="F11" s="236"/>
      <c r="G11" s="236"/>
      <c r="H11" s="236"/>
      <c r="I11" s="227" t="s">
        <v>213</v>
      </c>
      <c r="J11" s="228"/>
      <c r="K11" s="228"/>
      <c r="L11" s="228"/>
      <c r="M11" s="228"/>
      <c r="N11" s="229"/>
      <c r="O11" s="237"/>
      <c r="P11" s="238"/>
      <c r="Q11" s="238"/>
      <c r="R11" s="238"/>
      <c r="S11" s="239"/>
      <c r="T11" s="227" t="s">
        <v>143</v>
      </c>
      <c r="U11" s="228"/>
      <c r="V11" s="230" t="s">
        <v>219</v>
      </c>
      <c r="W11" s="231"/>
      <c r="X11" s="231"/>
      <c r="Y11" s="231"/>
      <c r="Z11" s="231"/>
      <c r="AA11" s="232"/>
      <c r="AB11" s="202" t="s">
        <v>181</v>
      </c>
      <c r="AC11" s="202"/>
      <c r="AD11" s="203">
        <v>9784379510</v>
      </c>
      <c r="AE11" s="203"/>
      <c r="AI11" s="95"/>
    </row>
    <row r="12" spans="1:35" s="22" customFormat="1" ht="121.25" customHeight="1">
      <c r="A12" s="47"/>
      <c r="C12" s="193" t="s">
        <v>14</v>
      </c>
      <c r="D12" s="194" t="s">
        <v>2</v>
      </c>
      <c r="E12" s="194" t="s">
        <v>3</v>
      </c>
      <c r="F12" s="194" t="s">
        <v>91</v>
      </c>
      <c r="G12" s="194" t="s">
        <v>24</v>
      </c>
      <c r="H12" s="194" t="s">
        <v>25</v>
      </c>
      <c r="I12" s="194" t="s">
        <v>147</v>
      </c>
      <c r="J12" s="194" t="s">
        <v>96</v>
      </c>
      <c r="K12" s="194" t="s">
        <v>141</v>
      </c>
      <c r="L12" s="194" t="s">
        <v>144</v>
      </c>
      <c r="M12" s="194" t="s">
        <v>145</v>
      </c>
      <c r="N12" s="195" t="s">
        <v>95</v>
      </c>
      <c r="O12" s="194" t="str">
        <f>IF(AB2="No","GPF","Emp. C.Pen.F.")</f>
        <v>GPF</v>
      </c>
      <c r="P12" s="194" t="str">
        <f>IF(AB2="No","GPF LOAN","")</f>
        <v>GPF LOAN</v>
      </c>
      <c r="Q12" s="194" t="s">
        <v>15</v>
      </c>
      <c r="R12" s="194" t="s">
        <v>207</v>
      </c>
      <c r="S12" s="194" t="s">
        <v>1</v>
      </c>
      <c r="T12" s="194" t="s">
        <v>16</v>
      </c>
      <c r="U12" s="194" t="s">
        <v>6</v>
      </c>
      <c r="V12" s="194" t="s">
        <v>140</v>
      </c>
      <c r="W12" s="194" t="s">
        <v>93</v>
      </c>
      <c r="X12" s="194" t="s">
        <v>92</v>
      </c>
      <c r="Y12" s="194" t="s">
        <v>90</v>
      </c>
      <c r="Z12" s="194" t="s">
        <v>198</v>
      </c>
      <c r="AA12" s="194" t="s">
        <v>216</v>
      </c>
      <c r="AB12" s="194" t="s">
        <v>199</v>
      </c>
      <c r="AC12" s="194" t="s">
        <v>94</v>
      </c>
      <c r="AD12" s="195" t="s">
        <v>142</v>
      </c>
      <c r="AE12" s="196" t="s">
        <v>184</v>
      </c>
      <c r="AI12" s="96"/>
    </row>
    <row r="13" spans="1:35" s="23" customFormat="1" ht="23.4" customHeight="1">
      <c r="A13" s="48"/>
      <c r="B13" s="23">
        <v>3</v>
      </c>
      <c r="C13" s="173">
        <v>43891</v>
      </c>
      <c r="D13" s="174">
        <f>IF($V$6="All India Service",ROUND(K6*15/31,0),IF($V$6="State service",ROUND(K6*15/31,0),IF($V$6="Subordinate",ROUND(K6*15/31,0),IF($V$6="Ministrial",ROUND(K6*22/31,0),IF($V$6="Class IV",ROUND(K6*31/31,0))))))</f>
        <v>43742</v>
      </c>
      <c r="E13" s="174">
        <v>0</v>
      </c>
      <c r="F13" s="174">
        <v>0</v>
      </c>
      <c r="G13" s="174">
        <v>0</v>
      </c>
      <c r="H13" s="174">
        <f>ROUND(17%*D13,0)</f>
        <v>7436</v>
      </c>
      <c r="I13" s="174">
        <f>IF($V$6="All India Service",ROUND(K6*AE5*15/31,0),IF($V$6="State service",ROUND(K6*AE5*15/31,0),IF($V$6="Subordinate",ROUND(K6*AE5*15/31,0),IF($V$6="Ministrial",ROUND(K6*AE5*22/31,0),IF($V$6="Class IV",ROUND(K6*AE5*31/31,0))))))</f>
        <v>3499</v>
      </c>
      <c r="J13" s="174">
        <v>0</v>
      </c>
      <c r="K13" s="174">
        <v>0</v>
      </c>
      <c r="L13" s="174">
        <v>0</v>
      </c>
      <c r="M13" s="174">
        <v>0</v>
      </c>
      <c r="N13" s="175">
        <f>SUM(D13:M13)</f>
        <v>54677</v>
      </c>
      <c r="O13" s="174">
        <f>IF($AB$2="Yes",ROUNDDOWN((D13+H13)*0.1,0),IF($AB$2="No",0))</f>
        <v>0</v>
      </c>
      <c r="P13" s="174">
        <v>0</v>
      </c>
      <c r="Q13" s="174">
        <v>0</v>
      </c>
      <c r="R13" s="174"/>
      <c r="S13" s="174">
        <v>0</v>
      </c>
      <c r="T13" s="174">
        <f>IF($AB$2="No",IF(K6&lt;18001,242,IF(K6&lt;33501,402,IF(K6&lt;54001,602,800))),0)</f>
        <v>800</v>
      </c>
      <c r="U13" s="174"/>
      <c r="V13" s="174">
        <v>0</v>
      </c>
      <c r="W13" s="174"/>
      <c r="X13" s="174"/>
      <c r="Y13" s="174"/>
      <c r="Z13" s="174"/>
      <c r="AA13" s="174"/>
      <c r="AB13" s="174">
        <f>IF($V$6="All India Service",ROUND(K6*5/31,0),IF($V$6="State service",ROUND(K6*5/31,0),IF($V$6="Subordinate",ROUND(K6*3/31,0),IF($V$6="Ministrial",ROUND(K6*2/31,0),IF($V$6="Class IV",ROUND(K6*1/31,0))))))</f>
        <v>8748</v>
      </c>
      <c r="AC13" s="176">
        <f>SUM(O13:AB13)</f>
        <v>9548</v>
      </c>
      <c r="AD13" s="177">
        <f t="shared" ref="AD13" si="0">N13-AC13</f>
        <v>45129</v>
      </c>
      <c r="AE13" s="174"/>
      <c r="AI13" s="97" t="s">
        <v>202</v>
      </c>
    </row>
    <row r="14" spans="1:35" s="23" customFormat="1" ht="23.4" customHeight="1">
      <c r="A14" s="48"/>
      <c r="B14" s="23">
        <v>4</v>
      </c>
      <c r="C14" s="173">
        <v>43922</v>
      </c>
      <c r="D14" s="174">
        <f>K6</f>
        <v>90400</v>
      </c>
      <c r="E14" s="174">
        <f>IF(E$13=0,0,ROUND(D14/2,0))</f>
        <v>0</v>
      </c>
      <c r="F14" s="174">
        <f t="shared" ref="F14:G19" si="1">IF(F$13=0,0,F13)</f>
        <v>0</v>
      </c>
      <c r="G14" s="174">
        <f t="shared" si="1"/>
        <v>0</v>
      </c>
      <c r="H14" s="174">
        <f t="shared" ref="H14:H24" si="2">ROUND(17%*D14,0)</f>
        <v>15368</v>
      </c>
      <c r="I14" s="174">
        <f>IF($AE$5=16%,ROUND(0.16*D14,0),ROUND(0.08*D14,0))</f>
        <v>7232</v>
      </c>
      <c r="J14" s="174">
        <f t="shared" ref="J14:J24" si="3">IF(J$13=0,0,J13)</f>
        <v>0</v>
      </c>
      <c r="K14" s="174">
        <f t="shared" ref="K14:L24" si="4">IF(K$13=0,0,K13)</f>
        <v>0</v>
      </c>
      <c r="L14" s="174">
        <f t="shared" si="4"/>
        <v>0</v>
      </c>
      <c r="M14" s="174"/>
      <c r="N14" s="175">
        <f t="shared" ref="N14:N33" si="5">SUM(D14:M14)</f>
        <v>113000</v>
      </c>
      <c r="O14" s="174">
        <f t="shared" ref="O14:O24" si="6">IF($AB$2="Yes",ROUND((D14+H14)*0.1,0),IF($AB$2="No",IF(D14&lt;23101,1450,IF(D14&lt;28501,1625,IF(D14&lt;38501,2100,IF(D14&lt;51501,2850,IF(D14&lt;62001,3575,IF(D14&lt;72001,4200,IF(D14&lt;80001,4800,IF(D14&lt;116001,6150,IF(D14&lt;167001,8900,10500))))))))),0))</f>
        <v>6150</v>
      </c>
      <c r="P14" s="174">
        <f>P13</f>
        <v>0</v>
      </c>
      <c r="Q14" s="174">
        <v>3000</v>
      </c>
      <c r="R14" s="174"/>
      <c r="S14" s="174">
        <f>S13</f>
        <v>0</v>
      </c>
      <c r="T14" s="174">
        <f t="shared" ref="T14" si="7">IF($AB$2="No",IF(D14&lt;18001,242,IF(D14&lt;33501,402,IF(D14&lt;54001,602,800))),0)</f>
        <v>800</v>
      </c>
      <c r="U14" s="174">
        <f>U13</f>
        <v>0</v>
      </c>
      <c r="V14" s="178">
        <v>220</v>
      </c>
      <c r="W14" s="174">
        <f t="shared" ref="W14:Y24" si="8">W13</f>
        <v>0</v>
      </c>
      <c r="X14" s="174">
        <f t="shared" si="8"/>
        <v>0</v>
      </c>
      <c r="Y14" s="174">
        <f>Y13</f>
        <v>0</v>
      </c>
      <c r="Z14" s="174"/>
      <c r="AA14" s="174"/>
      <c r="AB14" s="174"/>
      <c r="AC14" s="176">
        <f t="shared" ref="AC14:AC33" si="9">SUM(O14:AB14)</f>
        <v>10170</v>
      </c>
      <c r="AD14" s="177">
        <f t="shared" ref="AD14:AD30" si="10">N14-AC14</f>
        <v>102830</v>
      </c>
      <c r="AE14" s="174"/>
      <c r="AI14" s="97" t="s">
        <v>203</v>
      </c>
    </row>
    <row r="15" spans="1:35" s="23" customFormat="1" ht="23.4" customHeight="1">
      <c r="A15" s="48"/>
      <c r="B15" s="23">
        <v>5</v>
      </c>
      <c r="C15" s="173">
        <v>43952</v>
      </c>
      <c r="D15" s="174">
        <f t="shared" ref="D15:D16" si="11">D14</f>
        <v>90400</v>
      </c>
      <c r="E15" s="174">
        <f t="shared" ref="E15:E24" si="12">IF($E$13=0,0,ROUND(D15/2,0))</f>
        <v>0</v>
      </c>
      <c r="F15" s="174">
        <f t="shared" si="1"/>
        <v>0</v>
      </c>
      <c r="G15" s="174">
        <f t="shared" si="1"/>
        <v>0</v>
      </c>
      <c r="H15" s="174">
        <f t="shared" si="2"/>
        <v>15368</v>
      </c>
      <c r="I15" s="174">
        <f>IF($AE$5=16%,ROUND(0.16*D15,0),ROUND(0.08*D15,0))</f>
        <v>7232</v>
      </c>
      <c r="J15" s="174">
        <f t="shared" si="3"/>
        <v>0</v>
      </c>
      <c r="K15" s="174"/>
      <c r="L15" s="174">
        <f>IF(L$13=0,0,L14)</f>
        <v>0</v>
      </c>
      <c r="M15" s="174">
        <f>IF(M$13=0,0,M14)</f>
        <v>0</v>
      </c>
      <c r="N15" s="175">
        <f t="shared" si="5"/>
        <v>113000</v>
      </c>
      <c r="O15" s="174">
        <f t="shared" si="6"/>
        <v>6150</v>
      </c>
      <c r="P15" s="174">
        <f t="shared" ref="P15:P24" si="13">P14</f>
        <v>0</v>
      </c>
      <c r="Q15" s="174">
        <f t="shared" ref="Q15:Q24" si="14">Q14</f>
        <v>3000</v>
      </c>
      <c r="R15" s="174">
        <f>Q14</f>
        <v>3000</v>
      </c>
      <c r="S15" s="174">
        <f t="shared" ref="S15:S24" si="15">S14</f>
        <v>0</v>
      </c>
      <c r="T15" s="174">
        <f>IF($AB$2="No",IF(D15&lt;18001,288,IF(D15&lt;33501,478,IF(D15&lt;54001,714,950))),0)</f>
        <v>950</v>
      </c>
      <c r="U15" s="174">
        <f t="shared" ref="U15:U24" si="16">U14</f>
        <v>0</v>
      </c>
      <c r="V15" s="174">
        <v>0</v>
      </c>
      <c r="W15" s="174">
        <f t="shared" si="8"/>
        <v>0</v>
      </c>
      <c r="X15" s="174">
        <f t="shared" si="8"/>
        <v>0</v>
      </c>
      <c r="Y15" s="174">
        <f t="shared" si="8"/>
        <v>0</v>
      </c>
      <c r="Z15" s="174"/>
      <c r="AA15" s="174"/>
      <c r="AB15" s="174"/>
      <c r="AC15" s="176">
        <f t="shared" si="9"/>
        <v>13100</v>
      </c>
      <c r="AD15" s="177">
        <f t="shared" si="10"/>
        <v>99900</v>
      </c>
      <c r="AE15" s="174"/>
      <c r="AI15" s="97" t="s">
        <v>204</v>
      </c>
    </row>
    <row r="16" spans="1:35" s="23" customFormat="1" ht="23.4" customHeight="1">
      <c r="A16" s="48"/>
      <c r="B16" s="23">
        <v>6</v>
      </c>
      <c r="C16" s="173">
        <v>43983</v>
      </c>
      <c r="D16" s="174">
        <f t="shared" si="11"/>
        <v>90400</v>
      </c>
      <c r="E16" s="174">
        <f t="shared" si="12"/>
        <v>0</v>
      </c>
      <c r="F16" s="174">
        <f t="shared" si="1"/>
        <v>0</v>
      </c>
      <c r="G16" s="174">
        <f t="shared" si="1"/>
        <v>0</v>
      </c>
      <c r="H16" s="174">
        <f t="shared" si="2"/>
        <v>15368</v>
      </c>
      <c r="I16" s="174">
        <f t="shared" ref="I16:I24" si="17">IF($AE$5=16%,ROUND(0.16*D16,0),ROUND(0.08*D16,0))</f>
        <v>7232</v>
      </c>
      <c r="J16" s="174">
        <f t="shared" si="3"/>
        <v>0</v>
      </c>
      <c r="K16" s="174">
        <f t="shared" si="4"/>
        <v>0</v>
      </c>
      <c r="L16" s="174"/>
      <c r="M16" s="174">
        <f t="shared" ref="M16:M24" si="18">IF(M$13=0,0,M15)</f>
        <v>0</v>
      </c>
      <c r="N16" s="175">
        <f t="shared" si="5"/>
        <v>113000</v>
      </c>
      <c r="O16" s="174">
        <f t="shared" si="6"/>
        <v>6150</v>
      </c>
      <c r="P16" s="174">
        <f t="shared" si="13"/>
        <v>0</v>
      </c>
      <c r="Q16" s="174">
        <f t="shared" si="14"/>
        <v>3000</v>
      </c>
      <c r="R16" s="174"/>
      <c r="S16" s="174">
        <f t="shared" si="15"/>
        <v>0</v>
      </c>
      <c r="T16" s="174">
        <f>IF($AB$2="No",IF(D16&lt;18001,265,IF(D16&lt;33501,440,IF(D16&lt;54001,658,875))),0)</f>
        <v>875</v>
      </c>
      <c r="U16" s="174">
        <f t="shared" si="16"/>
        <v>0</v>
      </c>
      <c r="V16" s="174">
        <v>0</v>
      </c>
      <c r="W16" s="174">
        <f t="shared" si="8"/>
        <v>0</v>
      </c>
      <c r="X16" s="174">
        <f t="shared" si="8"/>
        <v>0</v>
      </c>
      <c r="Y16" s="174">
        <f t="shared" si="8"/>
        <v>0</v>
      </c>
      <c r="Z16" s="174"/>
      <c r="AA16" s="174"/>
      <c r="AB16" s="174"/>
      <c r="AC16" s="176">
        <f t="shared" si="9"/>
        <v>10025</v>
      </c>
      <c r="AD16" s="177">
        <f t="shared" si="10"/>
        <v>102975</v>
      </c>
      <c r="AE16" s="174"/>
      <c r="AI16" s="97" t="s">
        <v>205</v>
      </c>
    </row>
    <row r="17" spans="1:35" s="23" customFormat="1" ht="23.4" customHeight="1">
      <c r="A17" s="48"/>
      <c r="B17" s="23">
        <v>7</v>
      </c>
      <c r="C17" s="173">
        <v>44013</v>
      </c>
      <c r="D17" s="174">
        <f>MROUND(ROUND(1.03*D16,0),100)</f>
        <v>93100</v>
      </c>
      <c r="E17" s="174">
        <f t="shared" si="12"/>
        <v>0</v>
      </c>
      <c r="F17" s="174">
        <f>IF(F$13=0,0,F16)</f>
        <v>0</v>
      </c>
      <c r="G17" s="174">
        <f>IF(G$13=0,0,G16)</f>
        <v>0</v>
      </c>
      <c r="H17" s="174">
        <f t="shared" si="2"/>
        <v>15827</v>
      </c>
      <c r="I17" s="174">
        <f t="shared" si="17"/>
        <v>7448</v>
      </c>
      <c r="J17" s="174">
        <f>IF(J$13=0,0,J16)</f>
        <v>0</v>
      </c>
      <c r="K17" s="174">
        <f t="shared" ref="K17" si="19">IF(K$13=0,0,K16)</f>
        <v>0</v>
      </c>
      <c r="L17" s="174">
        <f>IF(L$13=0,0,L16)</f>
        <v>0</v>
      </c>
      <c r="M17" s="174">
        <f>IF(M$13=0,0,M16)</f>
        <v>0</v>
      </c>
      <c r="N17" s="175">
        <f t="shared" si="5"/>
        <v>116375</v>
      </c>
      <c r="O17" s="174">
        <f t="shared" si="6"/>
        <v>6150</v>
      </c>
      <c r="P17" s="174">
        <f>P16</f>
        <v>0</v>
      </c>
      <c r="Q17" s="174">
        <f>Q16</f>
        <v>3000</v>
      </c>
      <c r="R17" s="174"/>
      <c r="S17" s="174">
        <f>S16</f>
        <v>0</v>
      </c>
      <c r="T17" s="174">
        <f t="shared" ref="T17:T24" si="20">IF($AB$2="No",IF(D17&lt;18001,265,IF(D17&lt;33501,440,IF(D17&lt;54001,658,875))),0)</f>
        <v>875</v>
      </c>
      <c r="U17" s="174">
        <f>U16</f>
        <v>0</v>
      </c>
      <c r="V17" s="174">
        <v>0</v>
      </c>
      <c r="W17" s="174">
        <f>W16</f>
        <v>0</v>
      </c>
      <c r="X17" s="174">
        <f>X16</f>
        <v>0</v>
      </c>
      <c r="Y17" s="174">
        <f t="shared" ref="Y17:Y23" si="21">Y16</f>
        <v>0</v>
      </c>
      <c r="Z17" s="174"/>
      <c r="AA17" s="174"/>
      <c r="AB17" s="174"/>
      <c r="AC17" s="176">
        <f t="shared" si="9"/>
        <v>10025</v>
      </c>
      <c r="AD17" s="177">
        <f t="shared" si="10"/>
        <v>106350</v>
      </c>
      <c r="AE17" s="174"/>
      <c r="AI17" s="97" t="s">
        <v>201</v>
      </c>
    </row>
    <row r="18" spans="1:35" s="23" customFormat="1" ht="23.4" customHeight="1">
      <c r="A18" s="48"/>
      <c r="B18" s="23">
        <v>8</v>
      </c>
      <c r="C18" s="173">
        <v>44044</v>
      </c>
      <c r="D18" s="174">
        <f t="shared" ref="D18:D24" si="22">D17</f>
        <v>93100</v>
      </c>
      <c r="E18" s="174">
        <f t="shared" si="12"/>
        <v>0</v>
      </c>
      <c r="F18" s="174">
        <f t="shared" si="1"/>
        <v>0</v>
      </c>
      <c r="G18" s="174">
        <f t="shared" si="1"/>
        <v>0</v>
      </c>
      <c r="H18" s="174">
        <f t="shared" si="2"/>
        <v>15827</v>
      </c>
      <c r="I18" s="174">
        <f t="shared" si="17"/>
        <v>7448</v>
      </c>
      <c r="J18" s="174">
        <f t="shared" si="3"/>
        <v>0</v>
      </c>
      <c r="K18" s="174">
        <f t="shared" si="4"/>
        <v>0</v>
      </c>
      <c r="L18" s="174">
        <f t="shared" si="4"/>
        <v>0</v>
      </c>
      <c r="M18" s="174">
        <f t="shared" si="18"/>
        <v>0</v>
      </c>
      <c r="N18" s="175">
        <f t="shared" si="5"/>
        <v>116375</v>
      </c>
      <c r="O18" s="174">
        <f t="shared" si="6"/>
        <v>6150</v>
      </c>
      <c r="P18" s="174">
        <f t="shared" si="13"/>
        <v>0</v>
      </c>
      <c r="Q18" s="174">
        <f t="shared" si="14"/>
        <v>3000</v>
      </c>
      <c r="R18" s="174"/>
      <c r="S18" s="174">
        <f t="shared" si="15"/>
        <v>0</v>
      </c>
      <c r="T18" s="174">
        <f t="shared" si="20"/>
        <v>875</v>
      </c>
      <c r="U18" s="174">
        <f t="shared" si="16"/>
        <v>0</v>
      </c>
      <c r="V18" s="174">
        <v>0</v>
      </c>
      <c r="W18" s="174">
        <f t="shared" si="8"/>
        <v>0</v>
      </c>
      <c r="X18" s="174">
        <f t="shared" si="8"/>
        <v>0</v>
      </c>
      <c r="Y18" s="174">
        <f t="shared" si="21"/>
        <v>0</v>
      </c>
      <c r="Z18" s="174"/>
      <c r="AA18" s="174"/>
      <c r="AB18" s="174"/>
      <c r="AC18" s="176">
        <f t="shared" si="9"/>
        <v>10025</v>
      </c>
      <c r="AD18" s="177">
        <f t="shared" si="10"/>
        <v>106350</v>
      </c>
      <c r="AE18" s="174"/>
    </row>
    <row r="19" spans="1:35" s="23" customFormat="1" ht="23.4" customHeight="1">
      <c r="A19" s="48"/>
      <c r="B19" s="23">
        <v>9</v>
      </c>
      <c r="C19" s="173">
        <v>44075</v>
      </c>
      <c r="D19" s="174">
        <f t="shared" si="22"/>
        <v>93100</v>
      </c>
      <c r="E19" s="174">
        <f t="shared" si="12"/>
        <v>0</v>
      </c>
      <c r="F19" s="174">
        <f t="shared" si="1"/>
        <v>0</v>
      </c>
      <c r="G19" s="174">
        <f t="shared" si="1"/>
        <v>0</v>
      </c>
      <c r="H19" s="174">
        <f t="shared" si="2"/>
        <v>15827</v>
      </c>
      <c r="I19" s="174">
        <f t="shared" si="17"/>
        <v>7448</v>
      </c>
      <c r="J19" s="174">
        <f t="shared" si="3"/>
        <v>0</v>
      </c>
      <c r="K19" s="174">
        <f t="shared" si="4"/>
        <v>0</v>
      </c>
      <c r="L19" s="174">
        <f t="shared" si="4"/>
        <v>0</v>
      </c>
      <c r="M19" s="174">
        <f t="shared" si="18"/>
        <v>0</v>
      </c>
      <c r="N19" s="175">
        <f t="shared" si="5"/>
        <v>116375</v>
      </c>
      <c r="O19" s="174">
        <f t="shared" si="6"/>
        <v>6150</v>
      </c>
      <c r="P19" s="174">
        <f t="shared" si="13"/>
        <v>0</v>
      </c>
      <c r="Q19" s="174">
        <f t="shared" si="14"/>
        <v>3000</v>
      </c>
      <c r="R19" s="174"/>
      <c r="S19" s="174">
        <f t="shared" si="15"/>
        <v>0</v>
      </c>
      <c r="T19" s="174">
        <f t="shared" si="20"/>
        <v>875</v>
      </c>
      <c r="U19" s="174">
        <f t="shared" si="16"/>
        <v>0</v>
      </c>
      <c r="V19" s="174">
        <v>0</v>
      </c>
      <c r="W19" s="174">
        <f t="shared" si="8"/>
        <v>0</v>
      </c>
      <c r="X19" s="174">
        <f t="shared" si="8"/>
        <v>0</v>
      </c>
      <c r="Y19" s="174">
        <f t="shared" si="21"/>
        <v>0</v>
      </c>
      <c r="Z19" s="174"/>
      <c r="AA19" s="174"/>
      <c r="AB19" s="174">
        <f>IF($V$6="All India Service",ROUND(N19*2/30,0),IF($V$6="State service",ROUND(N19*2/30,0),IF($V$6="Subordinate",ROUND(N19*1/30,0),IF($V$6="Ministrial",ROUND(N19*1/30,0),IF($V$6="Class IV",ROUND(N19*1/30,0))))))</f>
        <v>3879</v>
      </c>
      <c r="AC19" s="176">
        <f t="shared" si="9"/>
        <v>13904</v>
      </c>
      <c r="AD19" s="177">
        <f t="shared" si="10"/>
        <v>102471</v>
      </c>
      <c r="AE19" s="174"/>
    </row>
    <row r="20" spans="1:35" s="23" customFormat="1" ht="23.4" customHeight="1">
      <c r="A20" s="48"/>
      <c r="B20" s="23">
        <v>10</v>
      </c>
      <c r="C20" s="173">
        <v>44105</v>
      </c>
      <c r="D20" s="174">
        <f t="shared" si="22"/>
        <v>93100</v>
      </c>
      <c r="E20" s="174">
        <f t="shared" si="12"/>
        <v>0</v>
      </c>
      <c r="F20" s="174">
        <f>IF(F$13=0,0,F19)</f>
        <v>0</v>
      </c>
      <c r="G20" s="174">
        <f t="shared" ref="G20:G24" si="23">IF(G$13=0,0,G19)</f>
        <v>0</v>
      </c>
      <c r="H20" s="174">
        <f t="shared" si="2"/>
        <v>15827</v>
      </c>
      <c r="I20" s="174">
        <f t="shared" si="17"/>
        <v>7448</v>
      </c>
      <c r="J20" s="174">
        <f t="shared" si="3"/>
        <v>0</v>
      </c>
      <c r="K20" s="174">
        <f t="shared" si="4"/>
        <v>0</v>
      </c>
      <c r="L20" s="174">
        <f t="shared" si="4"/>
        <v>0</v>
      </c>
      <c r="M20" s="174">
        <f t="shared" si="18"/>
        <v>0</v>
      </c>
      <c r="N20" s="175">
        <f t="shared" si="5"/>
        <v>116375</v>
      </c>
      <c r="O20" s="174">
        <f t="shared" si="6"/>
        <v>6150</v>
      </c>
      <c r="P20" s="174">
        <f t="shared" si="13"/>
        <v>0</v>
      </c>
      <c r="Q20" s="174">
        <f t="shared" si="14"/>
        <v>3000</v>
      </c>
      <c r="R20" s="174"/>
      <c r="S20" s="174">
        <f t="shared" si="15"/>
        <v>0</v>
      </c>
      <c r="T20" s="174">
        <f t="shared" si="20"/>
        <v>875</v>
      </c>
      <c r="U20" s="174">
        <f t="shared" si="16"/>
        <v>0</v>
      </c>
      <c r="V20" s="174">
        <v>0</v>
      </c>
      <c r="W20" s="174">
        <f t="shared" si="8"/>
        <v>0</v>
      </c>
      <c r="X20" s="174">
        <f t="shared" si="8"/>
        <v>0</v>
      </c>
      <c r="Y20" s="174">
        <f t="shared" si="21"/>
        <v>0</v>
      </c>
      <c r="Z20" s="174"/>
      <c r="AA20" s="174"/>
      <c r="AB20" s="174">
        <f>IF($V$6="All India Service",ROUND(N20*2/31,0),IF($V$6="State service",ROUND(N20*2/31,0),IF($V$6="Subordinate",ROUND(N20*1/31,0),IF($V$6="Ministrial",ROUND(N20*1/31,0),IF($V$6="Class IV",ROUND(N20*1/31,0))))))</f>
        <v>3754</v>
      </c>
      <c r="AC20" s="176">
        <f t="shared" si="9"/>
        <v>13779</v>
      </c>
      <c r="AD20" s="177">
        <f t="shared" si="10"/>
        <v>102596</v>
      </c>
      <c r="AE20" s="174"/>
    </row>
    <row r="21" spans="1:35" s="23" customFormat="1" ht="23.4" customHeight="1">
      <c r="A21" s="48"/>
      <c r="B21" s="23">
        <v>11</v>
      </c>
      <c r="C21" s="173">
        <v>44136</v>
      </c>
      <c r="D21" s="174">
        <f t="shared" si="22"/>
        <v>93100</v>
      </c>
      <c r="E21" s="174">
        <f t="shared" si="12"/>
        <v>0</v>
      </c>
      <c r="F21" s="174">
        <f>IF(F$13=0,0,F20)</f>
        <v>0</v>
      </c>
      <c r="G21" s="174">
        <f t="shared" si="23"/>
        <v>0</v>
      </c>
      <c r="H21" s="174">
        <f t="shared" si="2"/>
        <v>15827</v>
      </c>
      <c r="I21" s="174">
        <f t="shared" si="17"/>
        <v>7448</v>
      </c>
      <c r="J21" s="174">
        <f t="shared" si="3"/>
        <v>0</v>
      </c>
      <c r="K21" s="174">
        <f t="shared" si="4"/>
        <v>0</v>
      </c>
      <c r="L21" s="174">
        <f t="shared" si="4"/>
        <v>0</v>
      </c>
      <c r="M21" s="174">
        <f t="shared" si="18"/>
        <v>0</v>
      </c>
      <c r="N21" s="175">
        <f t="shared" si="5"/>
        <v>116375</v>
      </c>
      <c r="O21" s="174">
        <f t="shared" si="6"/>
        <v>6150</v>
      </c>
      <c r="P21" s="174">
        <f t="shared" si="13"/>
        <v>0</v>
      </c>
      <c r="Q21" s="174">
        <f t="shared" si="14"/>
        <v>3000</v>
      </c>
      <c r="R21" s="174"/>
      <c r="S21" s="174">
        <f t="shared" si="15"/>
        <v>0</v>
      </c>
      <c r="T21" s="174">
        <f t="shared" si="20"/>
        <v>875</v>
      </c>
      <c r="U21" s="174">
        <f t="shared" si="16"/>
        <v>0</v>
      </c>
      <c r="V21" s="174">
        <v>0</v>
      </c>
      <c r="W21" s="174">
        <f t="shared" si="8"/>
        <v>0</v>
      </c>
      <c r="X21" s="174">
        <f t="shared" si="8"/>
        <v>0</v>
      </c>
      <c r="Y21" s="174">
        <f t="shared" si="21"/>
        <v>0</v>
      </c>
      <c r="Z21" s="174"/>
      <c r="AA21" s="174"/>
      <c r="AB21" s="174"/>
      <c r="AC21" s="176">
        <f t="shared" si="9"/>
        <v>10025</v>
      </c>
      <c r="AD21" s="177">
        <f t="shared" si="10"/>
        <v>106350</v>
      </c>
      <c r="AE21" s="174"/>
    </row>
    <row r="22" spans="1:35" s="23" customFormat="1" ht="23.4" customHeight="1">
      <c r="A22" s="48"/>
      <c r="B22" s="23">
        <v>12</v>
      </c>
      <c r="C22" s="173">
        <v>44166</v>
      </c>
      <c r="D22" s="174">
        <f t="shared" si="22"/>
        <v>93100</v>
      </c>
      <c r="E22" s="174">
        <f t="shared" si="12"/>
        <v>0</v>
      </c>
      <c r="F22" s="174">
        <f>IF(F$13=0,0,F21)</f>
        <v>0</v>
      </c>
      <c r="G22" s="174">
        <f t="shared" si="23"/>
        <v>0</v>
      </c>
      <c r="H22" s="174">
        <f t="shared" si="2"/>
        <v>15827</v>
      </c>
      <c r="I22" s="174">
        <f t="shared" si="17"/>
        <v>7448</v>
      </c>
      <c r="J22" s="174">
        <f t="shared" si="3"/>
        <v>0</v>
      </c>
      <c r="K22" s="174">
        <f>IF(K$13=0,0,K21)</f>
        <v>0</v>
      </c>
      <c r="L22" s="174">
        <f t="shared" si="4"/>
        <v>0</v>
      </c>
      <c r="M22" s="174">
        <f t="shared" si="18"/>
        <v>0</v>
      </c>
      <c r="N22" s="175">
        <f t="shared" si="5"/>
        <v>116375</v>
      </c>
      <c r="O22" s="174">
        <f t="shared" si="6"/>
        <v>6150</v>
      </c>
      <c r="P22" s="174">
        <f t="shared" si="13"/>
        <v>0</v>
      </c>
      <c r="Q22" s="174">
        <f t="shared" si="14"/>
        <v>3000</v>
      </c>
      <c r="R22" s="174"/>
      <c r="S22" s="174">
        <f t="shared" si="15"/>
        <v>0</v>
      </c>
      <c r="T22" s="174">
        <f t="shared" si="20"/>
        <v>875</v>
      </c>
      <c r="U22" s="174">
        <f t="shared" si="16"/>
        <v>0</v>
      </c>
      <c r="V22" s="174">
        <v>0</v>
      </c>
      <c r="W22" s="174">
        <f t="shared" si="8"/>
        <v>0</v>
      </c>
      <c r="X22" s="174">
        <f t="shared" si="8"/>
        <v>0</v>
      </c>
      <c r="Y22" s="174">
        <f t="shared" si="21"/>
        <v>0</v>
      </c>
      <c r="Z22" s="174"/>
      <c r="AA22" s="174">
        <f>IF(V6="State Service",500,250)</f>
        <v>250</v>
      </c>
      <c r="AB22" s="174"/>
      <c r="AC22" s="176">
        <f t="shared" si="9"/>
        <v>10275</v>
      </c>
      <c r="AD22" s="177">
        <f t="shared" si="10"/>
        <v>106100</v>
      </c>
      <c r="AE22" s="174"/>
    </row>
    <row r="23" spans="1:35" s="23" customFormat="1" ht="23.4" customHeight="1">
      <c r="A23" s="48"/>
      <c r="B23" s="23">
        <v>1</v>
      </c>
      <c r="C23" s="173">
        <v>44197</v>
      </c>
      <c r="D23" s="174">
        <f t="shared" si="22"/>
        <v>93100</v>
      </c>
      <c r="E23" s="174">
        <f t="shared" si="12"/>
        <v>0</v>
      </c>
      <c r="F23" s="174">
        <f>IF(F$13=0,0,F22)</f>
        <v>0</v>
      </c>
      <c r="G23" s="174">
        <f t="shared" si="23"/>
        <v>0</v>
      </c>
      <c r="H23" s="174">
        <f t="shared" si="2"/>
        <v>15827</v>
      </c>
      <c r="I23" s="174">
        <f t="shared" si="17"/>
        <v>7448</v>
      </c>
      <c r="J23" s="174">
        <f t="shared" si="3"/>
        <v>0</v>
      </c>
      <c r="K23" s="174">
        <f t="shared" si="4"/>
        <v>0</v>
      </c>
      <c r="L23" s="174">
        <f t="shared" si="4"/>
        <v>0</v>
      </c>
      <c r="M23" s="174">
        <f t="shared" si="18"/>
        <v>0</v>
      </c>
      <c r="N23" s="175">
        <f t="shared" si="5"/>
        <v>116375</v>
      </c>
      <c r="O23" s="174">
        <f t="shared" si="6"/>
        <v>6150</v>
      </c>
      <c r="P23" s="174">
        <f t="shared" si="13"/>
        <v>0</v>
      </c>
      <c r="Q23" s="174">
        <f t="shared" si="14"/>
        <v>3000</v>
      </c>
      <c r="R23" s="174"/>
      <c r="S23" s="174">
        <f t="shared" si="15"/>
        <v>0</v>
      </c>
      <c r="T23" s="174">
        <f t="shared" si="20"/>
        <v>875</v>
      </c>
      <c r="U23" s="174">
        <f t="shared" si="16"/>
        <v>0</v>
      </c>
      <c r="V23" s="174">
        <v>0</v>
      </c>
      <c r="W23" s="174">
        <f t="shared" si="8"/>
        <v>0</v>
      </c>
      <c r="X23" s="174">
        <f t="shared" si="8"/>
        <v>0</v>
      </c>
      <c r="Y23" s="174">
        <f t="shared" si="21"/>
        <v>0</v>
      </c>
      <c r="Z23" s="174"/>
      <c r="AA23" s="174"/>
      <c r="AB23" s="174"/>
      <c r="AC23" s="176">
        <f t="shared" si="9"/>
        <v>10025</v>
      </c>
      <c r="AD23" s="177">
        <f t="shared" si="10"/>
        <v>106350</v>
      </c>
      <c r="AE23" s="174"/>
    </row>
    <row r="24" spans="1:35" s="23" customFormat="1" ht="23.4" customHeight="1">
      <c r="A24" s="48"/>
      <c r="B24" s="23">
        <v>2</v>
      </c>
      <c r="C24" s="173">
        <v>44228</v>
      </c>
      <c r="D24" s="174">
        <f t="shared" si="22"/>
        <v>93100</v>
      </c>
      <c r="E24" s="174">
        <f t="shared" si="12"/>
        <v>0</v>
      </c>
      <c r="F24" s="174">
        <f>IF(F$13=0,0,F23)</f>
        <v>0</v>
      </c>
      <c r="G24" s="174">
        <f t="shared" si="23"/>
        <v>0</v>
      </c>
      <c r="H24" s="174">
        <f t="shared" si="2"/>
        <v>15827</v>
      </c>
      <c r="I24" s="174">
        <f t="shared" si="17"/>
        <v>7448</v>
      </c>
      <c r="J24" s="174">
        <f t="shared" si="3"/>
        <v>0</v>
      </c>
      <c r="K24" s="174">
        <f t="shared" si="4"/>
        <v>0</v>
      </c>
      <c r="L24" s="174">
        <f t="shared" si="4"/>
        <v>0</v>
      </c>
      <c r="M24" s="174">
        <f t="shared" si="18"/>
        <v>0</v>
      </c>
      <c r="N24" s="175">
        <f t="shared" si="5"/>
        <v>116375</v>
      </c>
      <c r="O24" s="174">
        <f t="shared" si="6"/>
        <v>6150</v>
      </c>
      <c r="P24" s="174">
        <f t="shared" si="13"/>
        <v>0</v>
      </c>
      <c r="Q24" s="174">
        <f t="shared" si="14"/>
        <v>3000</v>
      </c>
      <c r="R24" s="174"/>
      <c r="S24" s="174">
        <f t="shared" si="15"/>
        <v>0</v>
      </c>
      <c r="T24" s="174">
        <f t="shared" si="20"/>
        <v>875</v>
      </c>
      <c r="U24" s="174">
        <f t="shared" si="16"/>
        <v>0</v>
      </c>
      <c r="V24" s="174">
        <v>0</v>
      </c>
      <c r="W24" s="174">
        <f t="shared" si="8"/>
        <v>0</v>
      </c>
      <c r="X24" s="174">
        <f t="shared" si="8"/>
        <v>0</v>
      </c>
      <c r="Y24" s="174"/>
      <c r="Z24" s="174"/>
      <c r="AA24" s="174"/>
      <c r="AB24" s="174"/>
      <c r="AC24" s="176">
        <f t="shared" si="9"/>
        <v>10025</v>
      </c>
      <c r="AD24" s="177">
        <f t="shared" si="10"/>
        <v>106350</v>
      </c>
      <c r="AE24" s="174"/>
    </row>
    <row r="25" spans="1:35" s="23" customFormat="1" ht="42.65" customHeight="1">
      <c r="A25" s="48"/>
      <c r="C25" s="185" t="s">
        <v>242</v>
      </c>
      <c r="D25" s="174"/>
      <c r="E25" s="174"/>
      <c r="F25" s="174"/>
      <c r="G25" s="174"/>
      <c r="H25" s="174">
        <f>(ROUND(17%*D14,0)-ROUND(12%*D14,0))*6+IF(L4="NO",0,IF(AND(Y4&gt;6,Y4&lt;13),ROUND(17%*D14/2,0)-ROUND(12%*D14/2,0),0))</f>
        <v>29380</v>
      </c>
      <c r="I25" s="174"/>
      <c r="J25" s="174"/>
      <c r="K25" s="174"/>
      <c r="L25" s="174"/>
      <c r="M25" s="174"/>
      <c r="N25" s="175">
        <f t="shared" si="5"/>
        <v>29380</v>
      </c>
      <c r="O25" s="174">
        <f>IF($AB$2="Yes",ROUND(N25*10/100,0),IF($AB$2="No",H25,0))</f>
        <v>29380</v>
      </c>
      <c r="P25" s="174"/>
      <c r="Q25" s="174">
        <v>0</v>
      </c>
      <c r="R25" s="174"/>
      <c r="S25" s="174"/>
      <c r="T25" s="174"/>
      <c r="U25" s="174">
        <v>0</v>
      </c>
      <c r="V25" s="174"/>
      <c r="W25" s="174"/>
      <c r="X25" s="174"/>
      <c r="Y25" s="174"/>
      <c r="Z25" s="174"/>
      <c r="AA25" s="174"/>
      <c r="AB25" s="174"/>
      <c r="AC25" s="176">
        <f t="shared" si="9"/>
        <v>29380</v>
      </c>
      <c r="AD25" s="177">
        <f t="shared" si="10"/>
        <v>0</v>
      </c>
      <c r="AE25" s="174"/>
    </row>
    <row r="26" spans="1:35" s="23" customFormat="1" ht="42.65" customHeight="1">
      <c r="A26" s="48"/>
      <c r="C26" s="185" t="s">
        <v>243</v>
      </c>
      <c r="D26" s="174"/>
      <c r="E26" s="174"/>
      <c r="F26" s="174"/>
      <c r="G26" s="174"/>
      <c r="H26" s="174">
        <f>(ROUND(17%*D14,0)-ROUND(12%*D14,0))*2+IF(L4="NO",0,IF(AND(Y4&gt;0,Y4&lt;4),ROUND(17%*D14,0)-ROUND(12%*D14,0),0))</f>
        <v>9040</v>
      </c>
      <c r="I26" s="174"/>
      <c r="J26" s="174"/>
      <c r="K26" s="174"/>
      <c r="L26" s="174"/>
      <c r="M26" s="174"/>
      <c r="N26" s="175">
        <f t="shared" ref="N26" si="24">SUM(D26:M26)</f>
        <v>9040</v>
      </c>
      <c r="O26" s="174">
        <f>IF($AB$2="Yes",ROUND(N26*10/100,0),IF($AB$2="No",H26,0))</f>
        <v>9040</v>
      </c>
      <c r="P26" s="174"/>
      <c r="Q26" s="174">
        <v>0</v>
      </c>
      <c r="R26" s="174"/>
      <c r="S26" s="174"/>
      <c r="T26" s="174"/>
      <c r="U26" s="174">
        <v>0</v>
      </c>
      <c r="V26" s="174"/>
      <c r="W26" s="174"/>
      <c r="X26" s="174"/>
      <c r="Y26" s="174"/>
      <c r="Z26" s="174"/>
      <c r="AA26" s="174"/>
      <c r="AB26" s="174"/>
      <c r="AC26" s="176">
        <f t="shared" ref="AC26" si="25">SUM(O26:AB26)</f>
        <v>9040</v>
      </c>
      <c r="AD26" s="177">
        <f t="shared" ref="AD26" si="26">N26-AC26</f>
        <v>0</v>
      </c>
      <c r="AE26" s="174"/>
    </row>
    <row r="27" spans="1:35" s="23" customFormat="1" ht="26.15" customHeight="1">
      <c r="A27" s="48"/>
      <c r="C27" s="186" t="s">
        <v>194</v>
      </c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5">
        <f>H27</f>
        <v>0</v>
      </c>
      <c r="O27" s="174">
        <f>IF($AB$2="Yes",ROUND((ROUND(17%*D27,0)-ROUND(12%*D27,0))*10%,0)*1,IF($AB$2="No",H27,0))</f>
        <v>0</v>
      </c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6">
        <f>SUM(O27:AB27)</f>
        <v>0</v>
      </c>
      <c r="AD27" s="177">
        <f>N27-O27</f>
        <v>0</v>
      </c>
      <c r="AE27" s="174"/>
    </row>
    <row r="28" spans="1:35" s="23" customFormat="1" ht="19" customHeight="1">
      <c r="A28" s="48"/>
      <c r="C28" s="186" t="s">
        <v>70</v>
      </c>
      <c r="D28" s="179">
        <f>IF(L3="NO",0,IF(Y3=3,D24,VLOOKUP(Y3,B13:D24,3,FALSE)))/2</f>
        <v>0</v>
      </c>
      <c r="E28" s="179"/>
      <c r="F28" s="179"/>
      <c r="G28" s="179"/>
      <c r="H28" s="179">
        <f>IF(AND(Y3&gt;3,Y3&lt;9),ROUND(17%*D28,0),ROUND(17%*D28,0))</f>
        <v>0</v>
      </c>
      <c r="I28" s="179"/>
      <c r="J28" s="179"/>
      <c r="K28" s="179"/>
      <c r="L28" s="179"/>
      <c r="M28" s="179"/>
      <c r="N28" s="175">
        <f t="shared" si="5"/>
        <v>0</v>
      </c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6">
        <f t="shared" si="9"/>
        <v>0</v>
      </c>
      <c r="AD28" s="177">
        <f t="shared" si="10"/>
        <v>0</v>
      </c>
      <c r="AE28" s="174"/>
    </row>
    <row r="29" spans="1:35" s="23" customFormat="1" ht="19" customHeight="1">
      <c r="A29" s="48"/>
      <c r="C29" s="186" t="s">
        <v>71</v>
      </c>
      <c r="D29" s="174">
        <f>IF(AB5="Yes",6774,0)</f>
        <v>0</v>
      </c>
      <c r="E29" s="179"/>
      <c r="F29" s="179"/>
      <c r="G29" s="179"/>
      <c r="H29" s="179"/>
      <c r="I29" s="179"/>
      <c r="J29" s="179"/>
      <c r="K29" s="179"/>
      <c r="L29" s="179"/>
      <c r="M29" s="179"/>
      <c r="N29" s="175">
        <f t="shared" si="5"/>
        <v>0</v>
      </c>
      <c r="O29" s="174">
        <f>IF($AB$2="NO",ROUND(D29*75/100,0),IF($AB$2="No",D29,0))</f>
        <v>0</v>
      </c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>
        <f>IF($AB$2="Yes",ROUND(D29*75/100,0),IF($AB$2="YES",D29,0))</f>
        <v>0</v>
      </c>
      <c r="AA29" s="174"/>
      <c r="AB29" s="174"/>
      <c r="AC29" s="176">
        <f t="shared" si="9"/>
        <v>0</v>
      </c>
      <c r="AD29" s="177">
        <f t="shared" si="10"/>
        <v>0</v>
      </c>
      <c r="AE29" s="174"/>
    </row>
    <row r="30" spans="1:35" s="23" customFormat="1" ht="24" customHeight="1">
      <c r="A30" s="48"/>
      <c r="C30" s="187" t="s">
        <v>86</v>
      </c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80">
        <f t="shared" si="5"/>
        <v>0</v>
      </c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8">
        <f t="shared" si="9"/>
        <v>0</v>
      </c>
      <c r="AD30" s="181">
        <f t="shared" si="10"/>
        <v>0</v>
      </c>
      <c r="AE30" s="174"/>
    </row>
    <row r="31" spans="1:35" s="23" customFormat="1" ht="24" customHeight="1">
      <c r="A31" s="48"/>
      <c r="C31" s="187" t="s">
        <v>171</v>
      </c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80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174"/>
      <c r="AC31" s="178">
        <f t="shared" si="9"/>
        <v>0</v>
      </c>
      <c r="AD31" s="181">
        <f t="shared" ref="AD31:AD33" si="27">N31-AC31</f>
        <v>0</v>
      </c>
      <c r="AE31" s="174"/>
    </row>
    <row r="32" spans="1:35" s="23" customFormat="1" ht="24" customHeight="1">
      <c r="A32" s="48"/>
      <c r="C32" s="187" t="s">
        <v>172</v>
      </c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80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  <c r="AA32" s="174"/>
      <c r="AB32" s="174"/>
      <c r="AC32" s="178">
        <f t="shared" si="9"/>
        <v>0</v>
      </c>
      <c r="AD32" s="181">
        <f t="shared" si="27"/>
        <v>0</v>
      </c>
      <c r="AE32" s="174"/>
    </row>
    <row r="33" spans="1:38" s="23" customFormat="1" ht="24" customHeight="1">
      <c r="A33" s="48"/>
      <c r="C33" s="187" t="s">
        <v>195</v>
      </c>
      <c r="D33" s="174"/>
      <c r="E33" s="174"/>
      <c r="F33" s="174"/>
      <c r="G33" s="174"/>
      <c r="H33" s="174"/>
      <c r="I33" s="174"/>
      <c r="J33" s="174"/>
      <c r="K33" s="174"/>
      <c r="L33" s="174"/>
      <c r="M33" s="174"/>
      <c r="N33" s="180">
        <f t="shared" si="5"/>
        <v>0</v>
      </c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>
        <f t="shared" ref="Y33" si="28">ROUNDUP(N33*0.2,-1)</f>
        <v>0</v>
      </c>
      <c r="Z33" s="174">
        <f t="shared" ref="Z33:AB33" si="29">Z30</f>
        <v>0</v>
      </c>
      <c r="AA33" s="174"/>
      <c r="AB33" s="174">
        <f t="shared" si="29"/>
        <v>0</v>
      </c>
      <c r="AC33" s="178">
        <f t="shared" si="9"/>
        <v>0</v>
      </c>
      <c r="AD33" s="181">
        <f t="shared" si="27"/>
        <v>0</v>
      </c>
      <c r="AE33" s="174"/>
    </row>
    <row r="34" spans="1:38" s="24" customFormat="1" ht="84" customHeight="1">
      <c r="A34" s="49"/>
      <c r="C34" s="182" t="s">
        <v>61</v>
      </c>
      <c r="D34" s="183">
        <f t="shared" ref="D34:AD34" si="30">SUM(D13:D33)</f>
        <v>1059742</v>
      </c>
      <c r="E34" s="183">
        <f t="shared" si="30"/>
        <v>0</v>
      </c>
      <c r="F34" s="183">
        <f t="shared" si="30"/>
        <v>0</v>
      </c>
      <c r="G34" s="183">
        <f t="shared" si="30"/>
        <v>0</v>
      </c>
      <c r="H34" s="183">
        <f t="shared" si="30"/>
        <v>218576</v>
      </c>
      <c r="I34" s="183">
        <f t="shared" si="30"/>
        <v>84779</v>
      </c>
      <c r="J34" s="183">
        <f t="shared" si="30"/>
        <v>0</v>
      </c>
      <c r="K34" s="183">
        <f t="shared" si="30"/>
        <v>0</v>
      </c>
      <c r="L34" s="183">
        <f t="shared" si="30"/>
        <v>0</v>
      </c>
      <c r="M34" s="183">
        <f t="shared" si="30"/>
        <v>0</v>
      </c>
      <c r="N34" s="183">
        <f t="shared" si="30"/>
        <v>1363097</v>
      </c>
      <c r="O34" s="183">
        <f t="shared" si="30"/>
        <v>106070</v>
      </c>
      <c r="P34" s="183">
        <f t="shared" si="30"/>
        <v>0</v>
      </c>
      <c r="Q34" s="183">
        <f t="shared" si="30"/>
        <v>33000</v>
      </c>
      <c r="R34" s="183">
        <f t="shared" si="30"/>
        <v>3000</v>
      </c>
      <c r="S34" s="183">
        <f t="shared" si="30"/>
        <v>0</v>
      </c>
      <c r="T34" s="183">
        <f t="shared" si="30"/>
        <v>10425</v>
      </c>
      <c r="U34" s="183">
        <f t="shared" si="30"/>
        <v>0</v>
      </c>
      <c r="V34" s="184">
        <f t="shared" si="30"/>
        <v>220</v>
      </c>
      <c r="W34" s="183">
        <f t="shared" si="30"/>
        <v>0</v>
      </c>
      <c r="X34" s="183">
        <f t="shared" si="30"/>
        <v>0</v>
      </c>
      <c r="Y34" s="183">
        <f t="shared" si="30"/>
        <v>0</v>
      </c>
      <c r="Z34" s="183">
        <f t="shared" si="30"/>
        <v>0</v>
      </c>
      <c r="AA34" s="183">
        <f>SUM(AA13:AA33)</f>
        <v>250</v>
      </c>
      <c r="AB34" s="183">
        <f t="shared" si="30"/>
        <v>16381</v>
      </c>
      <c r="AC34" s="184">
        <f t="shared" si="30"/>
        <v>169346</v>
      </c>
      <c r="AD34" s="184">
        <f t="shared" si="30"/>
        <v>1193751</v>
      </c>
      <c r="AE34" s="183"/>
      <c r="AL34" s="23"/>
    </row>
    <row r="35" spans="1:38" s="7" customFormat="1" ht="13">
      <c r="A35" s="50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L35" s="23"/>
    </row>
    <row r="36" spans="1:38" s="7" customFormat="1" ht="13">
      <c r="A36" s="50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L36" s="23"/>
    </row>
    <row r="37" spans="1:38" s="7" customFormat="1" ht="13">
      <c r="A37" s="50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L37" s="23"/>
    </row>
    <row r="38" spans="1:38" ht="13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L38" s="23"/>
    </row>
    <row r="39" spans="1:38" ht="13">
      <c r="C39" s="3"/>
      <c r="D39" s="3"/>
      <c r="E39" s="27" t="s">
        <v>62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27" t="s">
        <v>63</v>
      </c>
      <c r="AE39" s="3"/>
      <c r="AL39" s="23"/>
    </row>
    <row r="40" spans="1:38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8" ht="13">
      <c r="C41" s="197"/>
      <c r="D41" s="197"/>
      <c r="E41" s="197"/>
      <c r="F41" s="197"/>
      <c r="G41" s="197"/>
      <c r="H41" s="197"/>
      <c r="I41" s="197"/>
      <c r="J41" s="197"/>
      <c r="K41" s="197"/>
      <c r="L41" s="197"/>
      <c r="M41" s="197"/>
      <c r="N41" s="197"/>
      <c r="O41" s="197"/>
      <c r="P41" s="197"/>
      <c r="Q41" s="197"/>
      <c r="R41" s="197"/>
      <c r="S41" s="197"/>
      <c r="T41" s="197"/>
      <c r="U41" s="197"/>
      <c r="V41" s="197"/>
      <c r="W41" s="197"/>
      <c r="X41" s="197"/>
      <c r="Y41" s="197"/>
      <c r="Z41" s="197"/>
      <c r="AA41" s="197"/>
      <c r="AB41" s="197"/>
      <c r="AC41" s="197"/>
      <c r="AD41" s="197"/>
      <c r="AE41" s="197"/>
    </row>
    <row r="42" spans="1:38" ht="0.65" customHeight="1">
      <c r="C42" s="189"/>
      <c r="D42" s="189"/>
      <c r="E42" s="189"/>
      <c r="F42" s="189"/>
      <c r="G42" s="189"/>
      <c r="H42" s="189"/>
      <c r="I42" s="189"/>
      <c r="J42" s="189"/>
      <c r="K42" s="189"/>
      <c r="L42" s="189"/>
      <c r="M42" s="189"/>
      <c r="N42" s="189"/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</row>
    <row r="43" spans="1:38" hidden="1"/>
    <row r="44" spans="1:38" hidden="1"/>
    <row r="45" spans="1:38" hidden="1"/>
    <row r="46" spans="1:38" hidden="1"/>
    <row r="47" spans="1:38" hidden="1"/>
    <row r="48" spans="1:38" hidden="1"/>
    <row r="49" spans="1:1" hidden="1"/>
    <row r="50" spans="1:1" hidden="1"/>
    <row r="51" spans="1:1" hidden="1">
      <c r="A51" s="6"/>
    </row>
    <row r="52" spans="1:1" hidden="1">
      <c r="A52" s="6"/>
    </row>
    <row r="53" spans="1:1" hidden="1">
      <c r="A53" s="6"/>
    </row>
    <row r="54" spans="1:1" hidden="1">
      <c r="A54" s="6"/>
    </row>
    <row r="55" spans="1:1" hidden="1">
      <c r="A55" s="6"/>
    </row>
    <row r="56" spans="1:1" hidden="1">
      <c r="A56" s="6"/>
    </row>
    <row r="57" spans="1:1" hidden="1">
      <c r="A57" s="6"/>
    </row>
    <row r="58" spans="1:1" hidden="1">
      <c r="A58" s="6"/>
    </row>
    <row r="59" spans="1:1" hidden="1">
      <c r="A59" s="6"/>
    </row>
    <row r="60" spans="1:1" hidden="1">
      <c r="A60" s="6"/>
    </row>
    <row r="61" spans="1:1" hidden="1">
      <c r="A61" s="6"/>
    </row>
    <row r="62" spans="1:1" hidden="1">
      <c r="A62" s="6"/>
    </row>
    <row r="63" spans="1:1" hidden="1">
      <c r="A63" s="6"/>
    </row>
    <row r="64" spans="1:1" hidden="1">
      <c r="A64" s="6"/>
    </row>
    <row r="65" spans="1:1" hidden="1">
      <c r="A65" s="6"/>
    </row>
    <row r="66" spans="1:1" hidden="1">
      <c r="A66" s="6"/>
    </row>
    <row r="67" spans="1:1" hidden="1">
      <c r="A67" s="6"/>
    </row>
    <row r="68" spans="1:1" hidden="1">
      <c r="A68" s="6"/>
    </row>
    <row r="69" spans="1:1" hidden="1">
      <c r="A69" s="6"/>
    </row>
    <row r="70" spans="1:1" hidden="1">
      <c r="A70" s="6"/>
    </row>
    <row r="71" spans="1:1" hidden="1">
      <c r="A71" s="6"/>
    </row>
    <row r="72" spans="1:1" hidden="1">
      <c r="A72" s="6"/>
    </row>
    <row r="73" spans="1:1" hidden="1">
      <c r="A73" s="6"/>
    </row>
    <row r="74" spans="1:1" hidden="1">
      <c r="A74" s="6"/>
    </row>
    <row r="75" spans="1:1" hidden="1">
      <c r="A75" s="6"/>
    </row>
    <row r="76" spans="1:1" hidden="1">
      <c r="A76" s="6"/>
    </row>
    <row r="77" spans="1:1" hidden="1">
      <c r="A77" s="6"/>
    </row>
    <row r="78" spans="1:1" hidden="1">
      <c r="A78" s="6"/>
    </row>
    <row r="79" spans="1:1" hidden="1">
      <c r="A79" s="6"/>
    </row>
    <row r="80" spans="1:1" hidden="1">
      <c r="A80" s="6"/>
    </row>
    <row r="81" spans="1:1" hidden="1">
      <c r="A81" s="6"/>
    </row>
    <row r="82" spans="1:1" hidden="1">
      <c r="A82" s="6"/>
    </row>
    <row r="83" spans="1:1" hidden="1">
      <c r="A83" s="6"/>
    </row>
    <row r="84" spans="1:1" hidden="1">
      <c r="A84" s="6"/>
    </row>
    <row r="85" spans="1:1" hidden="1">
      <c r="A85" s="6"/>
    </row>
    <row r="86" spans="1:1" hidden="1">
      <c r="A86" s="6"/>
    </row>
    <row r="87" spans="1:1" hidden="1">
      <c r="A87" s="6"/>
    </row>
    <row r="88" spans="1:1" hidden="1">
      <c r="A88" s="6"/>
    </row>
    <row r="89" spans="1:1" hidden="1">
      <c r="A89" s="6"/>
    </row>
    <row r="90" spans="1:1" hidden="1">
      <c r="A90" s="6"/>
    </row>
    <row r="91" spans="1:1" hidden="1">
      <c r="A91" s="6"/>
    </row>
    <row r="92" spans="1:1" hidden="1">
      <c r="A92" s="6"/>
    </row>
    <row r="93" spans="1:1" hidden="1">
      <c r="A93" s="6"/>
    </row>
    <row r="94" spans="1:1" hidden="1">
      <c r="A94" s="6"/>
    </row>
    <row r="95" spans="1:1" hidden="1">
      <c r="A95" s="6"/>
    </row>
    <row r="96" spans="1:1" hidden="1">
      <c r="A96" s="6"/>
    </row>
    <row r="97" spans="1:1" hidden="1">
      <c r="A97" s="6"/>
    </row>
    <row r="98" spans="1:1" hidden="1">
      <c r="A98" s="6"/>
    </row>
    <row r="99" spans="1:1" hidden="1">
      <c r="A99" s="6"/>
    </row>
    <row r="100" spans="1:1" hidden="1">
      <c r="A100" s="6"/>
    </row>
    <row r="101" spans="1:1" hidden="1">
      <c r="A101" s="6"/>
    </row>
    <row r="102" spans="1:1" hidden="1">
      <c r="A102" s="6"/>
    </row>
    <row r="103" spans="1:1" hidden="1">
      <c r="A103" s="6"/>
    </row>
    <row r="104" spans="1:1" hidden="1">
      <c r="A104" s="6"/>
    </row>
    <row r="105" spans="1:1" hidden="1">
      <c r="A105" s="6"/>
    </row>
    <row r="106" spans="1:1" hidden="1">
      <c r="A106" s="6"/>
    </row>
    <row r="107" spans="1:1" hidden="1">
      <c r="A107" s="6"/>
    </row>
    <row r="108" spans="1:1" hidden="1">
      <c r="A108" s="6"/>
    </row>
    <row r="109" spans="1:1" hidden="1">
      <c r="A109" s="6"/>
    </row>
    <row r="110" spans="1:1" hidden="1">
      <c r="A110" s="6"/>
    </row>
    <row r="111" spans="1:1" hidden="1">
      <c r="A111" s="6"/>
    </row>
    <row r="112" spans="1:1" hidden="1">
      <c r="A112" s="6"/>
    </row>
    <row r="113" spans="1:1" hidden="1">
      <c r="A113" s="6"/>
    </row>
    <row r="114" spans="1:1" hidden="1">
      <c r="A114" s="6"/>
    </row>
    <row r="115" spans="1:1" hidden="1">
      <c r="A115" s="6"/>
    </row>
    <row r="116" spans="1:1" hidden="1">
      <c r="A116" s="6"/>
    </row>
    <row r="117" spans="1:1" hidden="1">
      <c r="A117" s="6"/>
    </row>
    <row r="118" spans="1:1" hidden="1">
      <c r="A118" s="6"/>
    </row>
    <row r="119" spans="1:1" hidden="1">
      <c r="A119" s="6"/>
    </row>
    <row r="120" spans="1:1" hidden="1">
      <c r="A120" s="6"/>
    </row>
    <row r="121" spans="1:1" hidden="1">
      <c r="A121" s="6"/>
    </row>
    <row r="122" spans="1:1" hidden="1">
      <c r="A122" s="6"/>
    </row>
    <row r="123" spans="1:1" hidden="1">
      <c r="A123" s="6"/>
    </row>
    <row r="124" spans="1:1" hidden="1">
      <c r="A124" s="6"/>
    </row>
    <row r="125" spans="1:1" hidden="1">
      <c r="A125" s="6"/>
    </row>
    <row r="126" spans="1:1" hidden="1">
      <c r="A126" s="6"/>
    </row>
    <row r="127" spans="1:1" hidden="1">
      <c r="A127" s="6"/>
    </row>
    <row r="128" spans="1:1" hidden="1">
      <c r="A128" s="6"/>
    </row>
    <row r="129" spans="1:1" hidden="1">
      <c r="A129" s="6"/>
    </row>
    <row r="130" spans="1:1" hidden="1">
      <c r="A130" s="6"/>
    </row>
    <row r="131" spans="1:1" hidden="1">
      <c r="A131" s="6"/>
    </row>
    <row r="132" spans="1:1" hidden="1">
      <c r="A132" s="6"/>
    </row>
    <row r="133" spans="1:1" hidden="1">
      <c r="A133" s="6"/>
    </row>
    <row r="134" spans="1:1" hidden="1">
      <c r="A134" s="6"/>
    </row>
    <row r="135" spans="1:1" hidden="1">
      <c r="A135" s="6"/>
    </row>
    <row r="136" spans="1:1" hidden="1">
      <c r="A136" s="6"/>
    </row>
    <row r="137" spans="1:1" hidden="1">
      <c r="A137" s="6"/>
    </row>
    <row r="138" spans="1:1" hidden="1">
      <c r="A138" s="6"/>
    </row>
    <row r="139" spans="1:1" hidden="1">
      <c r="A139" s="6"/>
    </row>
    <row r="140" spans="1:1" hidden="1">
      <c r="A140" s="6"/>
    </row>
    <row r="141" spans="1:1" hidden="1">
      <c r="A141" s="6"/>
    </row>
    <row r="142" spans="1:1" hidden="1">
      <c r="A142" s="6"/>
    </row>
    <row r="143" spans="1:1" hidden="1">
      <c r="A143" s="6"/>
    </row>
    <row r="144" spans="1:1" hidden="1">
      <c r="A144" s="6"/>
    </row>
    <row r="145" spans="1:1" hidden="1">
      <c r="A145" s="6"/>
    </row>
    <row r="146" spans="1:1" hidden="1">
      <c r="A146" s="6"/>
    </row>
    <row r="147" spans="1:1" hidden="1">
      <c r="A147" s="6"/>
    </row>
    <row r="148" spans="1:1" hidden="1">
      <c r="A148" s="6"/>
    </row>
    <row r="149" spans="1:1" hidden="1">
      <c r="A149" s="6"/>
    </row>
    <row r="150" spans="1:1" hidden="1">
      <c r="A150" s="6"/>
    </row>
    <row r="151" spans="1:1" hidden="1">
      <c r="A151" s="6"/>
    </row>
    <row r="152" spans="1:1" hidden="1">
      <c r="A152" s="6"/>
    </row>
    <row r="153" spans="1:1" hidden="1">
      <c r="A153" s="6"/>
    </row>
    <row r="154" spans="1:1" hidden="1">
      <c r="A154" s="6"/>
    </row>
    <row r="155" spans="1:1" hidden="1">
      <c r="A155" s="6"/>
    </row>
    <row r="156" spans="1:1" hidden="1">
      <c r="A156" s="6"/>
    </row>
    <row r="157" spans="1:1" hidden="1">
      <c r="A157" s="6"/>
    </row>
    <row r="158" spans="1:1" hidden="1">
      <c r="A158" s="6"/>
    </row>
    <row r="159" spans="1:1" hidden="1">
      <c r="A159" s="6"/>
    </row>
    <row r="160" spans="1:1" hidden="1">
      <c r="A160" s="6"/>
    </row>
    <row r="161" spans="1:1" hidden="1">
      <c r="A161" s="6"/>
    </row>
    <row r="162" spans="1:1" hidden="1">
      <c r="A162" s="6"/>
    </row>
    <row r="163" spans="1:1" hidden="1">
      <c r="A163" s="6"/>
    </row>
    <row r="164" spans="1:1" hidden="1">
      <c r="A164" s="6"/>
    </row>
    <row r="165" spans="1:1" hidden="1">
      <c r="A165" s="6"/>
    </row>
    <row r="166" spans="1:1" hidden="1">
      <c r="A166" s="6"/>
    </row>
    <row r="167" spans="1:1" hidden="1">
      <c r="A167" s="6"/>
    </row>
    <row r="168" spans="1:1" hidden="1">
      <c r="A168" s="6"/>
    </row>
    <row r="169" spans="1:1" hidden="1">
      <c r="A169" s="6"/>
    </row>
    <row r="170" spans="1:1" hidden="1">
      <c r="A170" s="6"/>
    </row>
    <row r="171" spans="1:1" hidden="1">
      <c r="A171" s="6"/>
    </row>
    <row r="172" spans="1:1" hidden="1">
      <c r="A172" s="6"/>
    </row>
    <row r="173" spans="1:1" hidden="1">
      <c r="A173" s="6"/>
    </row>
    <row r="174" spans="1:1" hidden="1">
      <c r="A174" s="6"/>
    </row>
    <row r="175" spans="1:1" hidden="1">
      <c r="A175" s="6"/>
    </row>
    <row r="176" spans="1:1" hidden="1">
      <c r="A176" s="6"/>
    </row>
    <row r="177" spans="1:1" hidden="1">
      <c r="A177" s="6"/>
    </row>
    <row r="178" spans="1:1" hidden="1">
      <c r="A178" s="6"/>
    </row>
    <row r="179" spans="1:1" hidden="1">
      <c r="A179" s="6"/>
    </row>
    <row r="180" spans="1:1" hidden="1">
      <c r="A180" s="6"/>
    </row>
    <row r="181" spans="1:1" hidden="1">
      <c r="A181" s="6"/>
    </row>
    <row r="182" spans="1:1" hidden="1">
      <c r="A182" s="6"/>
    </row>
    <row r="183" spans="1:1" hidden="1">
      <c r="A183" s="6"/>
    </row>
    <row r="184" spans="1:1" hidden="1">
      <c r="A184" s="6"/>
    </row>
    <row r="185" spans="1:1" hidden="1">
      <c r="A185" s="6"/>
    </row>
    <row r="186" spans="1:1" hidden="1">
      <c r="A186" s="6"/>
    </row>
    <row r="187" spans="1:1" hidden="1">
      <c r="A187" s="6"/>
    </row>
    <row r="188" spans="1:1" hidden="1">
      <c r="A188" s="6"/>
    </row>
    <row r="189" spans="1:1" hidden="1">
      <c r="A189" s="6"/>
    </row>
    <row r="190" spans="1:1" hidden="1">
      <c r="A190" s="6"/>
    </row>
    <row r="191" spans="1:1" hidden="1">
      <c r="A191" s="6"/>
    </row>
    <row r="192" spans="1:1" hidden="1">
      <c r="A192" s="6"/>
    </row>
    <row r="193" spans="1:1" hidden="1">
      <c r="A193" s="6"/>
    </row>
    <row r="194" spans="1:1" hidden="1">
      <c r="A194" s="6"/>
    </row>
    <row r="195" spans="1:1" hidden="1">
      <c r="A195" s="6"/>
    </row>
    <row r="196" spans="1:1" hidden="1">
      <c r="A196" s="6"/>
    </row>
    <row r="197" spans="1:1" hidden="1">
      <c r="A197" s="6"/>
    </row>
    <row r="198" spans="1:1" hidden="1">
      <c r="A198" s="6"/>
    </row>
    <row r="199" spans="1:1" hidden="1">
      <c r="A199" s="6"/>
    </row>
    <row r="200" spans="1:1" hidden="1">
      <c r="A200" s="6"/>
    </row>
    <row r="201" spans="1:1" hidden="1">
      <c r="A201" s="6"/>
    </row>
    <row r="202" spans="1:1" hidden="1">
      <c r="A202" s="6"/>
    </row>
    <row r="203" spans="1:1" hidden="1">
      <c r="A203" s="6"/>
    </row>
    <row r="204" spans="1:1" hidden="1">
      <c r="A204" s="6"/>
    </row>
    <row r="205" spans="1:1" hidden="1">
      <c r="A205" s="6"/>
    </row>
    <row r="206" spans="1:1" hidden="1">
      <c r="A206" s="6"/>
    </row>
    <row r="207" spans="1:1" hidden="1">
      <c r="A207" s="6"/>
    </row>
    <row r="208" spans="1:1" hidden="1">
      <c r="A208" s="6"/>
    </row>
    <row r="209" spans="1:1" hidden="1">
      <c r="A209" s="6"/>
    </row>
    <row r="210" spans="1:1" hidden="1">
      <c r="A210" s="6"/>
    </row>
    <row r="211" spans="1:1" hidden="1">
      <c r="A211" s="6"/>
    </row>
    <row r="212" spans="1:1" hidden="1">
      <c r="A212" s="6"/>
    </row>
    <row r="213" spans="1:1" hidden="1">
      <c r="A213" s="6"/>
    </row>
    <row r="214" spans="1:1" hidden="1">
      <c r="A214" s="6"/>
    </row>
    <row r="215" spans="1:1" hidden="1">
      <c r="A215" s="6"/>
    </row>
    <row r="216" spans="1:1" hidden="1">
      <c r="A216" s="6"/>
    </row>
    <row r="217" spans="1:1" hidden="1">
      <c r="A217" s="6"/>
    </row>
    <row r="218" spans="1:1" hidden="1">
      <c r="A218" s="6"/>
    </row>
    <row r="219" spans="1:1" hidden="1">
      <c r="A219" s="6"/>
    </row>
    <row r="220" spans="1:1" hidden="1">
      <c r="A220" s="6"/>
    </row>
    <row r="221" spans="1:1" hidden="1">
      <c r="A221" s="6"/>
    </row>
    <row r="222" spans="1:1" hidden="1">
      <c r="A222" s="6"/>
    </row>
    <row r="223" spans="1:1" hidden="1">
      <c r="A223" s="6"/>
    </row>
    <row r="224" spans="1:1" hidden="1">
      <c r="A224" s="6"/>
    </row>
    <row r="225" spans="1:1" hidden="1">
      <c r="A225" s="6"/>
    </row>
    <row r="226" spans="1:1" hidden="1">
      <c r="A226" s="6"/>
    </row>
    <row r="227" spans="1:1" hidden="1">
      <c r="A227" s="6"/>
    </row>
    <row r="228" spans="1:1" hidden="1">
      <c r="A228" s="6"/>
    </row>
    <row r="229" spans="1:1" hidden="1">
      <c r="A229" s="6"/>
    </row>
    <row r="230" spans="1:1" hidden="1">
      <c r="A230" s="6"/>
    </row>
    <row r="231" spans="1:1" hidden="1">
      <c r="A231" s="6"/>
    </row>
    <row r="232" spans="1:1" hidden="1">
      <c r="A232" s="6"/>
    </row>
    <row r="233" spans="1:1" hidden="1">
      <c r="A233" s="6"/>
    </row>
    <row r="234" spans="1:1" hidden="1">
      <c r="A234" s="6"/>
    </row>
    <row r="235" spans="1:1" hidden="1">
      <c r="A235" s="6"/>
    </row>
    <row r="236" spans="1:1" hidden="1">
      <c r="A236" s="6"/>
    </row>
    <row r="237" spans="1:1" hidden="1">
      <c r="A237" s="6"/>
    </row>
    <row r="238" spans="1:1" hidden="1">
      <c r="A238" s="6"/>
    </row>
    <row r="239" spans="1:1" hidden="1">
      <c r="A239" s="6"/>
    </row>
    <row r="240" spans="1:1" hidden="1">
      <c r="A240" s="6"/>
    </row>
    <row r="241" spans="1:1" hidden="1">
      <c r="A241" s="6"/>
    </row>
    <row r="242" spans="1:1" hidden="1">
      <c r="A242" s="6"/>
    </row>
    <row r="243" spans="1:1" hidden="1">
      <c r="A243" s="6"/>
    </row>
    <row r="244" spans="1:1" hidden="1">
      <c r="A244" s="6"/>
    </row>
    <row r="245" spans="1:1" hidden="1">
      <c r="A245" s="6"/>
    </row>
    <row r="246" spans="1:1" hidden="1">
      <c r="A246" s="6"/>
    </row>
    <row r="247" spans="1:1" hidden="1">
      <c r="A247" s="6"/>
    </row>
    <row r="248" spans="1:1" hidden="1">
      <c r="A248" s="6"/>
    </row>
    <row r="249" spans="1:1" hidden="1">
      <c r="A249" s="6"/>
    </row>
    <row r="250" spans="1:1" hidden="1">
      <c r="A250" s="6"/>
    </row>
    <row r="251" spans="1:1" hidden="1">
      <c r="A251" s="6"/>
    </row>
    <row r="252" spans="1:1" hidden="1">
      <c r="A252" s="6"/>
    </row>
    <row r="253" spans="1:1" hidden="1">
      <c r="A253" s="6"/>
    </row>
    <row r="254" spans="1:1" hidden="1">
      <c r="A254" s="6"/>
    </row>
    <row r="255" spans="1:1" hidden="1">
      <c r="A255" s="6"/>
    </row>
    <row r="256" spans="1:1" hidden="1">
      <c r="A256" s="6"/>
    </row>
    <row r="257" spans="1:1" hidden="1">
      <c r="A257" s="6"/>
    </row>
    <row r="258" spans="1:1" hidden="1">
      <c r="A258" s="6"/>
    </row>
    <row r="259" spans="1:1" hidden="1">
      <c r="A259" s="6"/>
    </row>
    <row r="260" spans="1:1" hidden="1">
      <c r="A260" s="6"/>
    </row>
    <row r="261" spans="1:1" hidden="1">
      <c r="A261" s="6"/>
    </row>
    <row r="262" spans="1:1" hidden="1">
      <c r="A262" s="6"/>
    </row>
    <row r="263" spans="1:1" hidden="1">
      <c r="A263" s="6"/>
    </row>
    <row r="264" spans="1:1" hidden="1">
      <c r="A264" s="6"/>
    </row>
    <row r="265" spans="1:1" hidden="1">
      <c r="A265" s="6"/>
    </row>
    <row r="266" spans="1:1" hidden="1">
      <c r="A266" s="6"/>
    </row>
    <row r="267" spans="1:1" hidden="1">
      <c r="A267" s="6"/>
    </row>
    <row r="268" spans="1:1" hidden="1">
      <c r="A268" s="6"/>
    </row>
    <row r="269" spans="1:1" hidden="1">
      <c r="A269" s="6"/>
    </row>
    <row r="270" spans="1:1" hidden="1">
      <c r="A270" s="6"/>
    </row>
    <row r="271" spans="1:1" hidden="1">
      <c r="A271" s="6"/>
    </row>
    <row r="272" spans="1:1" hidden="1">
      <c r="A272" s="6"/>
    </row>
    <row r="273" spans="1:1" hidden="1">
      <c r="A273" s="6"/>
    </row>
    <row r="274" spans="1:1" hidden="1">
      <c r="A274" s="6"/>
    </row>
    <row r="275" spans="1:1" hidden="1">
      <c r="A275" s="6"/>
    </row>
    <row r="276" spans="1:1" hidden="1">
      <c r="A276" s="6"/>
    </row>
    <row r="277" spans="1:1" hidden="1">
      <c r="A277" s="6"/>
    </row>
    <row r="278" spans="1:1" hidden="1">
      <c r="A278" s="6"/>
    </row>
    <row r="279" spans="1:1" hidden="1">
      <c r="A279" s="6"/>
    </row>
    <row r="280" spans="1:1" hidden="1">
      <c r="A280" s="6"/>
    </row>
    <row r="281" spans="1:1" hidden="1">
      <c r="A281" s="6"/>
    </row>
    <row r="282" spans="1:1" hidden="1">
      <c r="A282" s="6"/>
    </row>
    <row r="283" spans="1:1" hidden="1">
      <c r="A283" s="6"/>
    </row>
    <row r="284" spans="1:1" hidden="1">
      <c r="A284" s="6"/>
    </row>
    <row r="285" spans="1:1" hidden="1">
      <c r="A285" s="6"/>
    </row>
    <row r="286" spans="1:1" hidden="1">
      <c r="A286" s="6"/>
    </row>
    <row r="287" spans="1:1" hidden="1">
      <c r="A287" s="6"/>
    </row>
    <row r="288" spans="1:1" hidden="1">
      <c r="A288" s="6"/>
    </row>
    <row r="289" spans="1:1" hidden="1">
      <c r="A289" s="6"/>
    </row>
    <row r="290" spans="1:1" hidden="1">
      <c r="A290" s="6"/>
    </row>
    <row r="291" spans="1:1" hidden="1">
      <c r="A291" s="6"/>
    </row>
    <row r="292" spans="1:1" hidden="1">
      <c r="A292" s="6"/>
    </row>
    <row r="293" spans="1:1" hidden="1">
      <c r="A293" s="6"/>
    </row>
    <row r="294" spans="1:1" hidden="1">
      <c r="A294" s="6"/>
    </row>
    <row r="295" spans="1:1" hidden="1">
      <c r="A295" s="6"/>
    </row>
    <row r="296" spans="1:1" hidden="1">
      <c r="A296" s="6"/>
    </row>
    <row r="297" spans="1:1" hidden="1">
      <c r="A297" s="6"/>
    </row>
    <row r="298" spans="1:1" hidden="1">
      <c r="A298" s="6"/>
    </row>
    <row r="299" spans="1:1" hidden="1">
      <c r="A299" s="6"/>
    </row>
    <row r="300" spans="1:1" hidden="1">
      <c r="A300" s="6"/>
    </row>
    <row r="301" spans="1:1" hidden="1">
      <c r="A301" s="6"/>
    </row>
    <row r="302" spans="1:1" hidden="1">
      <c r="A302" s="6"/>
    </row>
    <row r="303" spans="1:1" hidden="1">
      <c r="A303" s="6"/>
    </row>
    <row r="304" spans="1:1" hidden="1">
      <c r="A304" s="6"/>
    </row>
    <row r="305" spans="1:1" hidden="1">
      <c r="A305" s="6"/>
    </row>
    <row r="306" spans="1:1" hidden="1">
      <c r="A306" s="6"/>
    </row>
    <row r="307" spans="1:1" hidden="1">
      <c r="A307" s="6"/>
    </row>
    <row r="308" spans="1:1" hidden="1">
      <c r="A308" s="6"/>
    </row>
    <row r="309" spans="1:1" hidden="1">
      <c r="A309" s="6"/>
    </row>
    <row r="310" spans="1:1" hidden="1">
      <c r="A310" s="6"/>
    </row>
    <row r="311" spans="1:1" hidden="1">
      <c r="A311" s="6"/>
    </row>
    <row r="312" spans="1:1" hidden="1">
      <c r="A312" s="6"/>
    </row>
    <row r="313" spans="1:1" hidden="1">
      <c r="A313" s="6"/>
    </row>
    <row r="314" spans="1:1" hidden="1">
      <c r="A314" s="6"/>
    </row>
    <row r="315" spans="1:1" hidden="1">
      <c r="A315" s="6"/>
    </row>
    <row r="316" spans="1:1" hidden="1">
      <c r="A316" s="6"/>
    </row>
    <row r="317" spans="1:1" hidden="1">
      <c r="A317" s="6"/>
    </row>
    <row r="318" spans="1:1" hidden="1">
      <c r="A318" s="6"/>
    </row>
    <row r="319" spans="1:1" hidden="1">
      <c r="A319" s="6"/>
    </row>
    <row r="320" spans="1:1" hidden="1">
      <c r="A320" s="6"/>
    </row>
    <row r="321" spans="1:1" hidden="1">
      <c r="A321" s="6"/>
    </row>
    <row r="322" spans="1:1" hidden="1">
      <c r="A322" s="6"/>
    </row>
    <row r="323" spans="1:1" hidden="1">
      <c r="A323" s="6"/>
    </row>
    <row r="324" spans="1:1" hidden="1">
      <c r="A324" s="6"/>
    </row>
    <row r="325" spans="1:1" hidden="1">
      <c r="A325" s="6"/>
    </row>
    <row r="326" spans="1:1" hidden="1">
      <c r="A326" s="6"/>
    </row>
    <row r="327" spans="1:1" hidden="1">
      <c r="A327" s="6"/>
    </row>
    <row r="328" spans="1:1" hidden="1">
      <c r="A328" s="6"/>
    </row>
    <row r="329" spans="1:1" hidden="1">
      <c r="A329" s="6"/>
    </row>
    <row r="330" spans="1:1" hidden="1">
      <c r="A330" s="6"/>
    </row>
    <row r="331" spans="1:1" hidden="1">
      <c r="A331" s="6"/>
    </row>
    <row r="332" spans="1:1" hidden="1">
      <c r="A332" s="6"/>
    </row>
    <row r="333" spans="1:1" hidden="1">
      <c r="A333" s="6"/>
    </row>
    <row r="334" spans="1:1" hidden="1">
      <c r="A334" s="6"/>
    </row>
    <row r="335" spans="1:1" hidden="1">
      <c r="A335" s="6"/>
    </row>
    <row r="336" spans="1:1" hidden="1">
      <c r="A336" s="6"/>
    </row>
    <row r="337" spans="1:1" hidden="1">
      <c r="A337" s="6"/>
    </row>
    <row r="338" spans="1:1" hidden="1">
      <c r="A338" s="6"/>
    </row>
    <row r="339" spans="1:1" hidden="1">
      <c r="A339" s="6"/>
    </row>
    <row r="340" spans="1:1" hidden="1">
      <c r="A340" s="6"/>
    </row>
    <row r="341" spans="1:1" hidden="1">
      <c r="A341" s="6"/>
    </row>
    <row r="342" spans="1:1" hidden="1">
      <c r="A342" s="6"/>
    </row>
    <row r="343" spans="1:1" hidden="1">
      <c r="A343" s="6"/>
    </row>
    <row r="344" spans="1:1" hidden="1">
      <c r="A344" s="6"/>
    </row>
    <row r="345" spans="1:1" hidden="1">
      <c r="A345" s="6"/>
    </row>
    <row r="346" spans="1:1" hidden="1">
      <c r="A346" s="6"/>
    </row>
    <row r="347" spans="1:1" hidden="1">
      <c r="A347" s="6"/>
    </row>
    <row r="348" spans="1:1" hidden="1">
      <c r="A348" s="6"/>
    </row>
    <row r="349" spans="1:1" hidden="1">
      <c r="A349" s="6"/>
    </row>
    <row r="350" spans="1:1" hidden="1">
      <c r="A350" s="6"/>
    </row>
    <row r="351" spans="1:1" hidden="1">
      <c r="A351" s="6"/>
    </row>
    <row r="352" spans="1:1" hidden="1">
      <c r="A352" s="6"/>
    </row>
    <row r="353" spans="1:1" hidden="1">
      <c r="A353" s="6"/>
    </row>
    <row r="354" spans="1:1" hidden="1">
      <c r="A354" s="6"/>
    </row>
    <row r="355" spans="1:1" hidden="1">
      <c r="A355" s="6"/>
    </row>
    <row r="356" spans="1:1" hidden="1">
      <c r="A356" s="6"/>
    </row>
    <row r="357" spans="1:1" hidden="1">
      <c r="A357" s="6"/>
    </row>
    <row r="358" spans="1:1" hidden="1">
      <c r="A358" s="6"/>
    </row>
    <row r="359" spans="1:1" hidden="1">
      <c r="A359" s="6"/>
    </row>
    <row r="360" spans="1:1" hidden="1">
      <c r="A360" s="6"/>
    </row>
    <row r="361" spans="1:1" hidden="1">
      <c r="A361" s="6"/>
    </row>
    <row r="362" spans="1:1" hidden="1">
      <c r="A362" s="6"/>
    </row>
    <row r="363" spans="1:1" hidden="1">
      <c r="A363" s="6"/>
    </row>
    <row r="364" spans="1:1" hidden="1">
      <c r="A364" s="6"/>
    </row>
    <row r="365" spans="1:1" hidden="1">
      <c r="A365" s="6"/>
    </row>
    <row r="366" spans="1:1" hidden="1">
      <c r="A366" s="6"/>
    </row>
    <row r="367" spans="1:1" hidden="1">
      <c r="A367" s="6"/>
    </row>
    <row r="368" spans="1:1" hidden="1">
      <c r="A368" s="6"/>
    </row>
    <row r="369" spans="1:1" hidden="1">
      <c r="A369" s="6"/>
    </row>
    <row r="370" spans="1:1" hidden="1">
      <c r="A370" s="6"/>
    </row>
    <row r="371" spans="1:1" hidden="1">
      <c r="A371" s="6"/>
    </row>
    <row r="372" spans="1:1" hidden="1">
      <c r="A372" s="6"/>
    </row>
    <row r="373" spans="1:1" hidden="1">
      <c r="A373" s="6"/>
    </row>
    <row r="374" spans="1:1" hidden="1">
      <c r="A374" s="6"/>
    </row>
    <row r="375" spans="1:1" hidden="1">
      <c r="A375" s="6"/>
    </row>
    <row r="376" spans="1:1" hidden="1">
      <c r="A376" s="6"/>
    </row>
    <row r="377" spans="1:1" hidden="1">
      <c r="A377" s="6"/>
    </row>
    <row r="378" spans="1:1" hidden="1">
      <c r="A378" s="6"/>
    </row>
    <row r="379" spans="1:1" hidden="1">
      <c r="A379" s="6"/>
    </row>
    <row r="380" spans="1:1" hidden="1">
      <c r="A380" s="6"/>
    </row>
    <row r="381" spans="1:1" hidden="1">
      <c r="A381" s="6"/>
    </row>
    <row r="382" spans="1:1" hidden="1">
      <c r="A382" s="6"/>
    </row>
    <row r="383" spans="1:1" hidden="1">
      <c r="A383" s="6"/>
    </row>
    <row r="384" spans="1:1" hidden="1">
      <c r="A384" s="6"/>
    </row>
    <row r="385" spans="1:1" hidden="1">
      <c r="A385" s="6"/>
    </row>
    <row r="386" spans="1:1" hidden="1">
      <c r="A386" s="6"/>
    </row>
    <row r="387" spans="1:1" hidden="1">
      <c r="A387" s="6"/>
    </row>
    <row r="388" spans="1:1" hidden="1">
      <c r="A388" s="6"/>
    </row>
    <row r="389" spans="1:1" hidden="1">
      <c r="A389" s="6"/>
    </row>
    <row r="390" spans="1:1" hidden="1">
      <c r="A390" s="6"/>
    </row>
    <row r="391" spans="1:1" hidden="1">
      <c r="A391" s="6"/>
    </row>
    <row r="392" spans="1:1" hidden="1">
      <c r="A392" s="6"/>
    </row>
    <row r="393" spans="1:1" hidden="1">
      <c r="A393" s="6"/>
    </row>
    <row r="394" spans="1:1" hidden="1">
      <c r="A394" s="6"/>
    </row>
    <row r="395" spans="1:1" hidden="1">
      <c r="A395" s="6"/>
    </row>
    <row r="396" spans="1:1" hidden="1">
      <c r="A396" s="6"/>
    </row>
    <row r="397" spans="1:1" hidden="1">
      <c r="A397" s="6"/>
    </row>
    <row r="398" spans="1:1" hidden="1">
      <c r="A398" s="6"/>
    </row>
    <row r="399" spans="1:1" hidden="1">
      <c r="A399" s="6"/>
    </row>
    <row r="400" spans="1:1" hidden="1">
      <c r="A400" s="6"/>
    </row>
    <row r="401" spans="1:1" hidden="1">
      <c r="A401" s="6"/>
    </row>
    <row r="402" spans="1:1" hidden="1">
      <c r="A402" s="6"/>
    </row>
    <row r="403" spans="1:1" hidden="1">
      <c r="A403" s="6"/>
    </row>
    <row r="404" spans="1:1" hidden="1">
      <c r="A404" s="6"/>
    </row>
    <row r="405" spans="1:1" hidden="1">
      <c r="A405" s="6"/>
    </row>
    <row r="406" spans="1:1" hidden="1">
      <c r="A406" s="6"/>
    </row>
    <row r="407" spans="1:1" hidden="1">
      <c r="A407" s="6"/>
    </row>
    <row r="408" spans="1:1" hidden="1">
      <c r="A408" s="6"/>
    </row>
    <row r="409" spans="1:1" hidden="1">
      <c r="A409" s="6"/>
    </row>
    <row r="410" spans="1:1" hidden="1">
      <c r="A410" s="6"/>
    </row>
    <row r="411" spans="1:1" hidden="1">
      <c r="A411" s="6"/>
    </row>
    <row r="412" spans="1:1" hidden="1">
      <c r="A412" s="6"/>
    </row>
    <row r="413" spans="1:1" hidden="1">
      <c r="A413" s="6"/>
    </row>
    <row r="414" spans="1:1" hidden="1">
      <c r="A414" s="6"/>
    </row>
    <row r="415" spans="1:1" hidden="1">
      <c r="A415" s="6"/>
    </row>
    <row r="416" spans="1:1" hidden="1">
      <c r="A416" s="6"/>
    </row>
    <row r="417" spans="1:1" hidden="1">
      <c r="A417" s="6"/>
    </row>
    <row r="418" spans="1:1" hidden="1">
      <c r="A418" s="6"/>
    </row>
    <row r="419" spans="1:1" hidden="1">
      <c r="A419" s="6"/>
    </row>
    <row r="420" spans="1:1" hidden="1">
      <c r="A420" s="6"/>
    </row>
    <row r="421" spans="1:1" hidden="1">
      <c r="A421" s="6"/>
    </row>
    <row r="422" spans="1:1" hidden="1">
      <c r="A422" s="6"/>
    </row>
    <row r="423" spans="1:1" hidden="1">
      <c r="A423" s="6"/>
    </row>
    <row r="424" spans="1:1" hidden="1">
      <c r="A424" s="6"/>
    </row>
    <row r="425" spans="1:1" hidden="1">
      <c r="A425" s="6"/>
    </row>
    <row r="426" spans="1:1" hidden="1">
      <c r="A426" s="6"/>
    </row>
    <row r="427" spans="1:1" hidden="1">
      <c r="A427" s="6"/>
    </row>
    <row r="428" spans="1:1" hidden="1">
      <c r="A428" s="6"/>
    </row>
    <row r="429" spans="1:1" hidden="1">
      <c r="A429" s="6"/>
    </row>
    <row r="430" spans="1:1" hidden="1">
      <c r="A430" s="6"/>
    </row>
    <row r="431" spans="1:1" hidden="1">
      <c r="A431" s="6"/>
    </row>
    <row r="432" spans="1:1" hidden="1">
      <c r="A432" s="6"/>
    </row>
    <row r="433" spans="1:1" hidden="1">
      <c r="A433" s="6"/>
    </row>
    <row r="434" spans="1:1" hidden="1">
      <c r="A434" s="6"/>
    </row>
    <row r="435" spans="1:1" hidden="1">
      <c r="A435" s="6"/>
    </row>
    <row r="436" spans="1:1" hidden="1">
      <c r="A436" s="6"/>
    </row>
    <row r="437" spans="1:1" hidden="1">
      <c r="A437" s="6"/>
    </row>
    <row r="438" spans="1:1" hidden="1">
      <c r="A438" s="6"/>
    </row>
    <row r="439" spans="1:1" hidden="1">
      <c r="A439" s="6"/>
    </row>
    <row r="440" spans="1:1" hidden="1">
      <c r="A440" s="6"/>
    </row>
    <row r="441" spans="1:1" hidden="1">
      <c r="A441" s="6"/>
    </row>
    <row r="442" spans="1:1" hidden="1">
      <c r="A442" s="6"/>
    </row>
    <row r="443" spans="1:1" hidden="1">
      <c r="A443" s="6"/>
    </row>
    <row r="444" spans="1:1" hidden="1">
      <c r="A444" s="6"/>
    </row>
    <row r="445" spans="1:1" hidden="1">
      <c r="A445" s="6"/>
    </row>
    <row r="446" spans="1:1" hidden="1">
      <c r="A446" s="6"/>
    </row>
    <row r="447" spans="1:1" hidden="1">
      <c r="A447" s="6"/>
    </row>
    <row r="448" spans="1:1" hidden="1">
      <c r="A448" s="6"/>
    </row>
    <row r="449" spans="1:1" hidden="1">
      <c r="A449" s="6"/>
    </row>
    <row r="450" spans="1:1" hidden="1">
      <c r="A450" s="6"/>
    </row>
    <row r="451" spans="1:1" hidden="1">
      <c r="A451" s="6"/>
    </row>
    <row r="452" spans="1:1" hidden="1">
      <c r="A452" s="6"/>
    </row>
    <row r="453" spans="1:1" hidden="1">
      <c r="A453" s="6"/>
    </row>
    <row r="454" spans="1:1" hidden="1">
      <c r="A454" s="6"/>
    </row>
    <row r="455" spans="1:1" hidden="1">
      <c r="A455" s="6"/>
    </row>
    <row r="456" spans="1:1" hidden="1">
      <c r="A456" s="6"/>
    </row>
    <row r="457" spans="1:1" hidden="1">
      <c r="A457" s="6"/>
    </row>
    <row r="458" spans="1:1" hidden="1">
      <c r="A458" s="6"/>
    </row>
    <row r="459" spans="1:1" hidden="1">
      <c r="A459" s="6"/>
    </row>
    <row r="460" spans="1:1" hidden="1">
      <c r="A460" s="6"/>
    </row>
    <row r="461" spans="1:1" hidden="1">
      <c r="A461" s="6"/>
    </row>
    <row r="462" spans="1:1" hidden="1">
      <c r="A462" s="6"/>
    </row>
    <row r="463" spans="1:1" hidden="1">
      <c r="A463" s="6"/>
    </row>
    <row r="464" spans="1:1" hidden="1">
      <c r="A464" s="6"/>
    </row>
    <row r="465" spans="1:1" hidden="1">
      <c r="A465" s="6"/>
    </row>
    <row r="466" spans="1:1" hidden="1">
      <c r="A466" s="6"/>
    </row>
    <row r="467" spans="1:1" hidden="1">
      <c r="A467" s="6"/>
    </row>
    <row r="468" spans="1:1" hidden="1">
      <c r="A468" s="6"/>
    </row>
    <row r="469" spans="1:1" hidden="1">
      <c r="A469" s="6"/>
    </row>
    <row r="470" spans="1:1" hidden="1">
      <c r="A470" s="6"/>
    </row>
    <row r="471" spans="1:1" hidden="1">
      <c r="A471" s="6"/>
    </row>
    <row r="472" spans="1:1" hidden="1">
      <c r="A472" s="6"/>
    </row>
    <row r="473" spans="1:1" hidden="1">
      <c r="A473" s="6"/>
    </row>
    <row r="474" spans="1:1" hidden="1">
      <c r="A474" s="6"/>
    </row>
    <row r="475" spans="1:1" hidden="1">
      <c r="A475" s="6"/>
    </row>
    <row r="476" spans="1:1" hidden="1">
      <c r="A476" s="6"/>
    </row>
    <row r="477" spans="1:1" hidden="1">
      <c r="A477" s="6"/>
    </row>
    <row r="478" spans="1:1" hidden="1">
      <c r="A478" s="6"/>
    </row>
    <row r="479" spans="1:1" hidden="1">
      <c r="A479" s="6"/>
    </row>
    <row r="480" spans="1:1" hidden="1">
      <c r="A480" s="6"/>
    </row>
    <row r="481" spans="1:1" hidden="1">
      <c r="A481" s="6"/>
    </row>
    <row r="482" spans="1:1" hidden="1">
      <c r="A482" s="6"/>
    </row>
    <row r="483" spans="1:1" hidden="1">
      <c r="A483" s="6"/>
    </row>
    <row r="484" spans="1:1" hidden="1">
      <c r="A484" s="6"/>
    </row>
    <row r="485" spans="1:1" hidden="1">
      <c r="A485" s="6"/>
    </row>
    <row r="486" spans="1:1" hidden="1">
      <c r="A486" s="6"/>
    </row>
    <row r="487" spans="1:1" hidden="1">
      <c r="A487" s="6"/>
    </row>
    <row r="488" spans="1:1" hidden="1">
      <c r="A488" s="6"/>
    </row>
    <row r="489" spans="1:1" hidden="1">
      <c r="A489" s="6"/>
    </row>
    <row r="490" spans="1:1" hidden="1">
      <c r="A490" s="6"/>
    </row>
    <row r="491" spans="1:1" hidden="1">
      <c r="A491" s="6"/>
    </row>
    <row r="492" spans="1:1" hidden="1">
      <c r="A492" s="6"/>
    </row>
    <row r="493" spans="1:1" hidden="1">
      <c r="A493" s="6"/>
    </row>
    <row r="494" spans="1:1" hidden="1">
      <c r="A494" s="6"/>
    </row>
    <row r="495" spans="1:1" hidden="1">
      <c r="A495" s="6"/>
    </row>
    <row r="496" spans="1:1" hidden="1">
      <c r="A496" s="6"/>
    </row>
    <row r="497" spans="1:1" hidden="1">
      <c r="A497" s="6"/>
    </row>
    <row r="498" spans="1:1" hidden="1">
      <c r="A498" s="6"/>
    </row>
    <row r="499" spans="1:1" hidden="1">
      <c r="A499" s="6"/>
    </row>
    <row r="500" spans="1:1" hidden="1">
      <c r="A500" s="6"/>
    </row>
    <row r="501" spans="1:1" hidden="1">
      <c r="A501" s="6"/>
    </row>
    <row r="502" spans="1:1" hidden="1">
      <c r="A502" s="6"/>
    </row>
    <row r="503" spans="1:1" hidden="1">
      <c r="A503" s="6"/>
    </row>
    <row r="504" spans="1:1" hidden="1">
      <c r="A504" s="6"/>
    </row>
    <row r="505" spans="1:1" hidden="1">
      <c r="A505" s="6"/>
    </row>
    <row r="506" spans="1:1" hidden="1">
      <c r="A506" s="6"/>
    </row>
    <row r="507" spans="1:1" hidden="1">
      <c r="A507" s="6"/>
    </row>
    <row r="508" spans="1:1" hidden="1">
      <c r="A508" s="6"/>
    </row>
    <row r="509" spans="1:1" hidden="1">
      <c r="A509" s="6"/>
    </row>
    <row r="510" spans="1:1" hidden="1">
      <c r="A510" s="6"/>
    </row>
    <row r="511" spans="1:1" hidden="1">
      <c r="A511" s="6"/>
    </row>
    <row r="512" spans="1:1" hidden="1">
      <c r="A512" s="6"/>
    </row>
    <row r="513" spans="1:1" hidden="1">
      <c r="A513" s="6"/>
    </row>
    <row r="514" spans="1:1" hidden="1">
      <c r="A514" s="6"/>
    </row>
    <row r="515" spans="1:1" hidden="1">
      <c r="A515" s="6"/>
    </row>
    <row r="516" spans="1:1" hidden="1">
      <c r="A516" s="6"/>
    </row>
    <row r="517" spans="1:1" hidden="1">
      <c r="A517" s="6"/>
    </row>
    <row r="518" spans="1:1" hidden="1">
      <c r="A518" s="6"/>
    </row>
    <row r="519" spans="1:1" hidden="1">
      <c r="A519" s="6"/>
    </row>
    <row r="520" spans="1:1" hidden="1">
      <c r="A520" s="6"/>
    </row>
    <row r="521" spans="1:1" hidden="1">
      <c r="A521" s="6"/>
    </row>
    <row r="522" spans="1:1" hidden="1">
      <c r="A522" s="6"/>
    </row>
    <row r="523" spans="1:1" hidden="1">
      <c r="A523" s="6"/>
    </row>
    <row r="524" spans="1:1" hidden="1">
      <c r="A524" s="6"/>
    </row>
    <row r="525" spans="1:1" hidden="1">
      <c r="A525" s="6"/>
    </row>
    <row r="526" spans="1:1" hidden="1">
      <c r="A526" s="6"/>
    </row>
    <row r="527" spans="1:1" hidden="1">
      <c r="A527" s="6"/>
    </row>
    <row r="528" spans="1:1" hidden="1">
      <c r="A528" s="6"/>
    </row>
    <row r="529" spans="1:1" hidden="1">
      <c r="A529" s="6"/>
    </row>
    <row r="530" spans="1:1" hidden="1">
      <c r="A530" s="6"/>
    </row>
    <row r="531" spans="1:1" hidden="1">
      <c r="A531" s="6"/>
    </row>
    <row r="532" spans="1:1" hidden="1">
      <c r="A532" s="6"/>
    </row>
    <row r="533" spans="1:1" hidden="1">
      <c r="A533" s="6"/>
    </row>
    <row r="534" spans="1:1" hidden="1">
      <c r="A534" s="6"/>
    </row>
    <row r="535" spans="1:1" hidden="1">
      <c r="A535" s="6"/>
    </row>
    <row r="536" spans="1:1" hidden="1">
      <c r="A536" s="6"/>
    </row>
    <row r="537" spans="1:1" hidden="1">
      <c r="A537" s="6"/>
    </row>
    <row r="538" spans="1:1" hidden="1">
      <c r="A538" s="6"/>
    </row>
    <row r="539" spans="1:1" hidden="1">
      <c r="A539" s="6"/>
    </row>
    <row r="540" spans="1:1" hidden="1">
      <c r="A540" s="6"/>
    </row>
    <row r="541" spans="1:1" hidden="1">
      <c r="A541" s="6"/>
    </row>
    <row r="542" spans="1:1" hidden="1">
      <c r="A542" s="6"/>
    </row>
    <row r="543" spans="1:1" hidden="1">
      <c r="A543" s="6"/>
    </row>
    <row r="544" spans="1:1" hidden="1">
      <c r="A544" s="6"/>
    </row>
    <row r="545" spans="1:1" hidden="1">
      <c r="A545" s="6"/>
    </row>
    <row r="546" spans="1:1" hidden="1">
      <c r="A546" s="6"/>
    </row>
    <row r="547" spans="1:1" hidden="1">
      <c r="A547" s="6"/>
    </row>
    <row r="548" spans="1:1" hidden="1">
      <c r="A548" s="6"/>
    </row>
    <row r="549" spans="1:1" hidden="1">
      <c r="A549" s="6"/>
    </row>
    <row r="550" spans="1:1" hidden="1">
      <c r="A550" s="6"/>
    </row>
    <row r="551" spans="1:1" hidden="1">
      <c r="A551" s="6"/>
    </row>
    <row r="552" spans="1:1" hidden="1">
      <c r="A552" s="6"/>
    </row>
    <row r="553" spans="1:1" hidden="1">
      <c r="A553" s="6"/>
    </row>
    <row r="554" spans="1:1" hidden="1">
      <c r="A554" s="6"/>
    </row>
    <row r="555" spans="1:1" hidden="1">
      <c r="A555" s="6"/>
    </row>
    <row r="556" spans="1:1" hidden="1">
      <c r="A556" s="6"/>
    </row>
    <row r="557" spans="1:1" hidden="1">
      <c r="A557" s="6"/>
    </row>
    <row r="558" spans="1:1" hidden="1">
      <c r="A558" s="6"/>
    </row>
    <row r="559" spans="1:1" hidden="1">
      <c r="A559" s="6"/>
    </row>
    <row r="560" spans="1:1" hidden="1">
      <c r="A560" s="6"/>
    </row>
    <row r="561" spans="1:1" hidden="1">
      <c r="A561" s="6"/>
    </row>
    <row r="562" spans="1:1" hidden="1">
      <c r="A562" s="6"/>
    </row>
    <row r="563" spans="1:1" hidden="1">
      <c r="A563" s="6"/>
    </row>
    <row r="564" spans="1:1" hidden="1">
      <c r="A564" s="6"/>
    </row>
    <row r="565" spans="1:1" hidden="1">
      <c r="A565" s="6"/>
    </row>
    <row r="566" spans="1:1" hidden="1">
      <c r="A566" s="6"/>
    </row>
    <row r="567" spans="1:1" hidden="1">
      <c r="A567" s="6"/>
    </row>
    <row r="568" spans="1:1" hidden="1">
      <c r="A568" s="6"/>
    </row>
    <row r="569" spans="1:1" hidden="1">
      <c r="A569" s="6"/>
    </row>
    <row r="570" spans="1:1" hidden="1">
      <c r="A570" s="6"/>
    </row>
    <row r="571" spans="1:1" hidden="1">
      <c r="A571" s="6"/>
    </row>
    <row r="572" spans="1:1" hidden="1">
      <c r="A572" s="6"/>
    </row>
    <row r="573" spans="1:1" hidden="1">
      <c r="A573" s="6"/>
    </row>
    <row r="574" spans="1:1" hidden="1">
      <c r="A574" s="6"/>
    </row>
    <row r="575" spans="1:1" hidden="1">
      <c r="A575" s="6"/>
    </row>
    <row r="576" spans="1:1" hidden="1">
      <c r="A576" s="6"/>
    </row>
    <row r="577" spans="1:1" hidden="1">
      <c r="A577" s="6"/>
    </row>
    <row r="578" spans="1:1" hidden="1">
      <c r="A578" s="6"/>
    </row>
    <row r="579" spans="1:1" hidden="1">
      <c r="A579" s="6"/>
    </row>
    <row r="580" spans="1:1" hidden="1">
      <c r="A580" s="6"/>
    </row>
    <row r="581" spans="1:1" hidden="1">
      <c r="A581" s="6"/>
    </row>
    <row r="582" spans="1:1" hidden="1">
      <c r="A582" s="6"/>
    </row>
    <row r="583" spans="1:1" hidden="1">
      <c r="A583" s="6"/>
    </row>
    <row r="584" spans="1:1" hidden="1">
      <c r="A584" s="6"/>
    </row>
    <row r="585" spans="1:1" hidden="1">
      <c r="A585" s="6"/>
    </row>
    <row r="586" spans="1:1" hidden="1">
      <c r="A586" s="6"/>
    </row>
    <row r="587" spans="1:1" hidden="1">
      <c r="A587" s="6"/>
    </row>
    <row r="588" spans="1:1" hidden="1">
      <c r="A588" s="6"/>
    </row>
    <row r="589" spans="1:1" hidden="1">
      <c r="A589" s="6"/>
    </row>
    <row r="590" spans="1:1" hidden="1">
      <c r="A590" s="6"/>
    </row>
    <row r="591" spans="1:1" hidden="1">
      <c r="A591" s="6"/>
    </row>
    <row r="592" spans="1:1" hidden="1">
      <c r="A592" s="6"/>
    </row>
    <row r="593" spans="1:1" hidden="1">
      <c r="A593" s="6"/>
    </row>
    <row r="594" spans="1:1" hidden="1">
      <c r="A594" s="6"/>
    </row>
    <row r="595" spans="1:1" hidden="1">
      <c r="A595" s="6"/>
    </row>
    <row r="596" spans="1:1" hidden="1">
      <c r="A596" s="6"/>
    </row>
    <row r="597" spans="1:1" hidden="1">
      <c r="A597" s="6"/>
    </row>
    <row r="598" spans="1:1" hidden="1">
      <c r="A598" s="6"/>
    </row>
    <row r="599" spans="1:1" hidden="1">
      <c r="A599" s="6"/>
    </row>
    <row r="600" spans="1:1" hidden="1">
      <c r="A600" s="6"/>
    </row>
    <row r="601" spans="1:1" hidden="1">
      <c r="A601" s="6"/>
    </row>
    <row r="602" spans="1:1" hidden="1">
      <c r="A602" s="6"/>
    </row>
    <row r="603" spans="1:1" hidden="1">
      <c r="A603" s="6"/>
    </row>
    <row r="604" spans="1:1" hidden="1">
      <c r="A604" s="6"/>
    </row>
    <row r="605" spans="1:1" hidden="1">
      <c r="A605" s="6"/>
    </row>
    <row r="606" spans="1:1" hidden="1">
      <c r="A606" s="6"/>
    </row>
    <row r="607" spans="1:1" hidden="1">
      <c r="A607" s="6"/>
    </row>
    <row r="608" spans="1:1" hidden="1">
      <c r="A608" s="6"/>
    </row>
    <row r="609" spans="1:1" hidden="1">
      <c r="A609" s="6"/>
    </row>
    <row r="610" spans="1:1" hidden="1">
      <c r="A610" s="6"/>
    </row>
    <row r="611" spans="1:1" hidden="1">
      <c r="A611" s="6"/>
    </row>
    <row r="612" spans="1:1" hidden="1">
      <c r="A612" s="6"/>
    </row>
    <row r="613" spans="1:1" hidden="1">
      <c r="A613" s="6"/>
    </row>
    <row r="614" spans="1:1" hidden="1">
      <c r="A614" s="6"/>
    </row>
    <row r="615" spans="1:1" hidden="1">
      <c r="A615" s="6"/>
    </row>
    <row r="616" spans="1:1" hidden="1">
      <c r="A616" s="6"/>
    </row>
    <row r="617" spans="1:1" hidden="1">
      <c r="A617" s="6"/>
    </row>
    <row r="618" spans="1:1" hidden="1">
      <c r="A618" s="6"/>
    </row>
    <row r="619" spans="1:1" hidden="1">
      <c r="A619" s="6"/>
    </row>
    <row r="620" spans="1:1" hidden="1">
      <c r="A620" s="6"/>
    </row>
    <row r="621" spans="1:1" hidden="1">
      <c r="A621" s="6"/>
    </row>
    <row r="622" spans="1:1" hidden="1">
      <c r="A622" s="6"/>
    </row>
    <row r="623" spans="1:1" hidden="1">
      <c r="A623" s="6"/>
    </row>
    <row r="624" spans="1:1" hidden="1">
      <c r="A624" s="6"/>
    </row>
    <row r="625" spans="1:1" hidden="1">
      <c r="A625" s="6"/>
    </row>
    <row r="626" spans="1:1" hidden="1">
      <c r="A626" s="6"/>
    </row>
    <row r="627" spans="1:1" hidden="1">
      <c r="A627" s="6"/>
    </row>
    <row r="628" spans="1:1" hidden="1">
      <c r="A628" s="6"/>
    </row>
    <row r="629" spans="1:1" hidden="1">
      <c r="A629" s="6"/>
    </row>
    <row r="630" spans="1:1" hidden="1">
      <c r="A630" s="6"/>
    </row>
    <row r="631" spans="1:1" hidden="1">
      <c r="A631" s="6"/>
    </row>
    <row r="632" spans="1:1" hidden="1">
      <c r="A632" s="6"/>
    </row>
    <row r="633" spans="1:1" hidden="1">
      <c r="A633" s="6"/>
    </row>
    <row r="634" spans="1:1" hidden="1">
      <c r="A634" s="6"/>
    </row>
    <row r="635" spans="1:1" hidden="1">
      <c r="A635" s="6"/>
    </row>
    <row r="636" spans="1:1" hidden="1">
      <c r="A636" s="6"/>
    </row>
    <row r="637" spans="1:1" hidden="1">
      <c r="A637" s="6"/>
    </row>
    <row r="638" spans="1:1" hidden="1">
      <c r="A638" s="6"/>
    </row>
    <row r="639" spans="1:1" hidden="1">
      <c r="A639" s="6"/>
    </row>
    <row r="640" spans="1:1" hidden="1">
      <c r="A640" s="6"/>
    </row>
    <row r="641" spans="1:1" hidden="1">
      <c r="A641" s="6"/>
    </row>
    <row r="642" spans="1:1" hidden="1">
      <c r="A642" s="6"/>
    </row>
    <row r="643" spans="1:1" hidden="1">
      <c r="A643" s="6"/>
    </row>
    <row r="644" spans="1:1" hidden="1">
      <c r="A644" s="6"/>
    </row>
    <row r="645" spans="1:1" hidden="1">
      <c r="A645" s="6"/>
    </row>
    <row r="646" spans="1:1" hidden="1">
      <c r="A646" s="6"/>
    </row>
    <row r="647" spans="1:1" hidden="1">
      <c r="A647" s="6"/>
    </row>
    <row r="648" spans="1:1" hidden="1">
      <c r="A648" s="6"/>
    </row>
    <row r="649" spans="1:1" hidden="1">
      <c r="A649" s="6"/>
    </row>
    <row r="650" spans="1:1" hidden="1">
      <c r="A650" s="6"/>
    </row>
    <row r="651" spans="1:1" hidden="1">
      <c r="A651" s="6"/>
    </row>
    <row r="652" spans="1:1" hidden="1">
      <c r="A652" s="6"/>
    </row>
    <row r="653" spans="1:1" hidden="1">
      <c r="A653" s="6"/>
    </row>
    <row r="654" spans="1:1" hidden="1">
      <c r="A654" s="6"/>
    </row>
    <row r="655" spans="1:1" hidden="1">
      <c r="A655" s="6"/>
    </row>
    <row r="656" spans="1:1" hidden="1">
      <c r="A656" s="6"/>
    </row>
    <row r="657" spans="1:1" hidden="1">
      <c r="A657" s="6"/>
    </row>
    <row r="658" spans="1:1" hidden="1">
      <c r="A658" s="6"/>
    </row>
    <row r="659" spans="1:1" hidden="1">
      <c r="A659" s="6"/>
    </row>
    <row r="660" spans="1:1" hidden="1">
      <c r="A660" s="6"/>
    </row>
    <row r="661" spans="1:1" hidden="1">
      <c r="A661" s="6"/>
    </row>
    <row r="662" spans="1:1" hidden="1">
      <c r="A662" s="6"/>
    </row>
    <row r="663" spans="1:1" hidden="1">
      <c r="A663" s="6"/>
    </row>
    <row r="664" spans="1:1" hidden="1">
      <c r="A664" s="6"/>
    </row>
    <row r="665" spans="1:1" hidden="1">
      <c r="A665" s="6"/>
    </row>
    <row r="666" spans="1:1" hidden="1">
      <c r="A666" s="6"/>
    </row>
    <row r="667" spans="1:1" hidden="1">
      <c r="A667" s="6"/>
    </row>
    <row r="668" spans="1:1" hidden="1">
      <c r="A668" s="6"/>
    </row>
    <row r="669" spans="1:1" hidden="1">
      <c r="A669" s="6"/>
    </row>
    <row r="670" spans="1:1" hidden="1">
      <c r="A670" s="6"/>
    </row>
    <row r="671" spans="1:1" hidden="1">
      <c r="A671" s="6"/>
    </row>
    <row r="672" spans="1:1" hidden="1">
      <c r="A672" s="6"/>
    </row>
    <row r="673" spans="1:1" hidden="1">
      <c r="A673" s="6"/>
    </row>
    <row r="674" spans="1:1" hidden="1">
      <c r="A674" s="6"/>
    </row>
    <row r="675" spans="1:1" hidden="1">
      <c r="A675" s="6"/>
    </row>
    <row r="676" spans="1:1" hidden="1">
      <c r="A676" s="6"/>
    </row>
    <row r="677" spans="1:1" hidden="1">
      <c r="A677" s="6"/>
    </row>
    <row r="678" spans="1:1" hidden="1">
      <c r="A678" s="6"/>
    </row>
    <row r="679" spans="1:1" hidden="1">
      <c r="A679" s="6"/>
    </row>
    <row r="680" spans="1:1" hidden="1">
      <c r="A680" s="6"/>
    </row>
    <row r="681" spans="1:1" hidden="1">
      <c r="A681" s="6"/>
    </row>
    <row r="682" spans="1:1" hidden="1">
      <c r="A682" s="6"/>
    </row>
    <row r="683" spans="1:1" hidden="1">
      <c r="A683" s="6"/>
    </row>
    <row r="684" spans="1:1" hidden="1">
      <c r="A684" s="6"/>
    </row>
    <row r="685" spans="1:1" hidden="1">
      <c r="A685" s="6"/>
    </row>
    <row r="686" spans="1:1" hidden="1">
      <c r="A686" s="6"/>
    </row>
    <row r="687" spans="1:1" hidden="1">
      <c r="A687" s="6"/>
    </row>
    <row r="688" spans="1:1" hidden="1">
      <c r="A688" s="6"/>
    </row>
    <row r="689" spans="1:1" hidden="1">
      <c r="A689" s="6"/>
    </row>
    <row r="690" spans="1:1" hidden="1">
      <c r="A690" s="6"/>
    </row>
    <row r="691" spans="1:1" hidden="1">
      <c r="A691" s="6"/>
    </row>
    <row r="692" spans="1:1" hidden="1">
      <c r="A692" s="6"/>
    </row>
    <row r="693" spans="1:1" hidden="1">
      <c r="A693" s="6"/>
    </row>
    <row r="694" spans="1:1" hidden="1">
      <c r="A694" s="6"/>
    </row>
    <row r="695" spans="1:1" hidden="1">
      <c r="A695" s="6"/>
    </row>
    <row r="696" spans="1:1" hidden="1">
      <c r="A696" s="6"/>
    </row>
    <row r="697" spans="1:1" hidden="1">
      <c r="A697" s="6"/>
    </row>
    <row r="698" spans="1:1" hidden="1">
      <c r="A698" s="6"/>
    </row>
    <row r="699" spans="1:1" hidden="1">
      <c r="A699" s="6"/>
    </row>
    <row r="700" spans="1:1" hidden="1">
      <c r="A700" s="6"/>
    </row>
    <row r="701" spans="1:1" hidden="1">
      <c r="A701" s="6"/>
    </row>
    <row r="702" spans="1:1" hidden="1">
      <c r="A702" s="6"/>
    </row>
    <row r="703" spans="1:1" hidden="1">
      <c r="A703" s="6"/>
    </row>
    <row r="704" spans="1:1" hidden="1">
      <c r="A704" s="6"/>
    </row>
    <row r="705" spans="1:1" hidden="1">
      <c r="A705" s="6"/>
    </row>
    <row r="706" spans="1:1" hidden="1">
      <c r="A706" s="6"/>
    </row>
    <row r="707" spans="1:1" hidden="1">
      <c r="A707" s="6"/>
    </row>
    <row r="708" spans="1:1" hidden="1">
      <c r="A708" s="6"/>
    </row>
    <row r="709" spans="1:1" hidden="1">
      <c r="A709" s="6"/>
    </row>
    <row r="710" spans="1:1" hidden="1">
      <c r="A710" s="6"/>
    </row>
    <row r="711" spans="1:1" hidden="1">
      <c r="A711" s="6"/>
    </row>
    <row r="712" spans="1:1" hidden="1">
      <c r="A712" s="6"/>
    </row>
    <row r="713" spans="1:1" hidden="1">
      <c r="A713" s="6"/>
    </row>
    <row r="714" spans="1:1" hidden="1">
      <c r="A714" s="6"/>
    </row>
    <row r="715" spans="1:1" hidden="1">
      <c r="A715" s="6"/>
    </row>
    <row r="716" spans="1:1" hidden="1">
      <c r="A716" s="6"/>
    </row>
    <row r="717" spans="1:1" hidden="1">
      <c r="A717" s="6"/>
    </row>
    <row r="718" spans="1:1" hidden="1">
      <c r="A718" s="6"/>
    </row>
    <row r="719" spans="1:1" hidden="1">
      <c r="A719" s="6"/>
    </row>
    <row r="720" spans="1:1" hidden="1">
      <c r="A720" s="6"/>
    </row>
    <row r="721" spans="1:1" hidden="1">
      <c r="A721" s="6"/>
    </row>
    <row r="722" spans="1:1" hidden="1">
      <c r="A722" s="6"/>
    </row>
    <row r="723" spans="1:1" hidden="1">
      <c r="A723" s="6"/>
    </row>
    <row r="724" spans="1:1" hidden="1">
      <c r="A724" s="6"/>
    </row>
    <row r="725" spans="1:1" hidden="1">
      <c r="A725" s="6"/>
    </row>
    <row r="726" spans="1:1" hidden="1">
      <c r="A726" s="6"/>
    </row>
    <row r="727" spans="1:1" hidden="1">
      <c r="A727" s="6"/>
    </row>
    <row r="728" spans="1:1" hidden="1">
      <c r="A728" s="6"/>
    </row>
    <row r="729" spans="1:1" hidden="1">
      <c r="A729" s="6"/>
    </row>
    <row r="730" spans="1:1" hidden="1">
      <c r="A730" s="6"/>
    </row>
    <row r="731" spans="1:1" hidden="1">
      <c r="A731" s="6"/>
    </row>
    <row r="732" spans="1:1" hidden="1">
      <c r="A732" s="6"/>
    </row>
    <row r="733" spans="1:1" hidden="1">
      <c r="A733" s="6"/>
    </row>
    <row r="734" spans="1:1" hidden="1">
      <c r="A734" s="6"/>
    </row>
    <row r="735" spans="1:1" hidden="1">
      <c r="A735" s="6"/>
    </row>
    <row r="736" spans="1:1" hidden="1">
      <c r="A736" s="6"/>
    </row>
    <row r="737" spans="1:1" hidden="1">
      <c r="A737" s="6"/>
    </row>
    <row r="738" spans="1:1" hidden="1">
      <c r="A738" s="6"/>
    </row>
    <row r="739" spans="1:1" hidden="1">
      <c r="A739" s="6"/>
    </row>
    <row r="740" spans="1:1" hidden="1">
      <c r="A740" s="6"/>
    </row>
    <row r="741" spans="1:1" hidden="1">
      <c r="A741" s="6"/>
    </row>
    <row r="742" spans="1:1" hidden="1">
      <c r="A742" s="6"/>
    </row>
    <row r="743" spans="1:1" hidden="1">
      <c r="A743" s="6"/>
    </row>
    <row r="744" spans="1:1" hidden="1">
      <c r="A744" s="6"/>
    </row>
    <row r="745" spans="1:1" hidden="1">
      <c r="A745" s="6"/>
    </row>
    <row r="746" spans="1:1" hidden="1">
      <c r="A746" s="6"/>
    </row>
    <row r="747" spans="1:1" hidden="1">
      <c r="A747" s="6"/>
    </row>
    <row r="748" spans="1:1" hidden="1">
      <c r="A748" s="6"/>
    </row>
    <row r="749" spans="1:1" hidden="1">
      <c r="A749" s="6"/>
    </row>
    <row r="750" spans="1:1" hidden="1">
      <c r="A750" s="6"/>
    </row>
    <row r="751" spans="1:1" hidden="1">
      <c r="A751" s="6"/>
    </row>
    <row r="752" spans="1:1" hidden="1">
      <c r="A752" s="6"/>
    </row>
    <row r="753" spans="1:1" hidden="1">
      <c r="A753" s="6"/>
    </row>
    <row r="754" spans="1:1" hidden="1">
      <c r="A754" s="6"/>
    </row>
    <row r="755" spans="1:1" hidden="1">
      <c r="A755" s="6"/>
    </row>
    <row r="756" spans="1:1" hidden="1">
      <c r="A756" s="6"/>
    </row>
    <row r="757" spans="1:1" hidden="1">
      <c r="A757" s="6"/>
    </row>
    <row r="758" spans="1:1" hidden="1">
      <c r="A758" s="6"/>
    </row>
    <row r="759" spans="1:1" hidden="1">
      <c r="A759" s="6"/>
    </row>
    <row r="760" spans="1:1" hidden="1">
      <c r="A760" s="6"/>
    </row>
    <row r="761" spans="1:1" hidden="1">
      <c r="A761" s="6"/>
    </row>
    <row r="762" spans="1:1" hidden="1">
      <c r="A762" s="6"/>
    </row>
    <row r="763" spans="1:1" hidden="1">
      <c r="A763" s="6"/>
    </row>
    <row r="764" spans="1:1" hidden="1">
      <c r="A764" s="6"/>
    </row>
    <row r="765" spans="1:1" hidden="1">
      <c r="A765" s="6"/>
    </row>
    <row r="766" spans="1:1" hidden="1">
      <c r="A766" s="6"/>
    </row>
    <row r="767" spans="1:1" hidden="1">
      <c r="A767" s="6"/>
    </row>
    <row r="768" spans="1:1" hidden="1">
      <c r="A768" s="6"/>
    </row>
    <row r="769" spans="1:1" hidden="1">
      <c r="A769" s="6"/>
    </row>
    <row r="770" spans="1:1" hidden="1">
      <c r="A770" s="6"/>
    </row>
    <row r="771" spans="1:1" hidden="1">
      <c r="A771" s="6"/>
    </row>
    <row r="772" spans="1:1" hidden="1">
      <c r="A772" s="6"/>
    </row>
    <row r="773" spans="1:1" hidden="1">
      <c r="A773" s="6"/>
    </row>
    <row r="774" spans="1:1" hidden="1">
      <c r="A774" s="6"/>
    </row>
    <row r="775" spans="1:1" hidden="1">
      <c r="A775" s="6"/>
    </row>
    <row r="776" spans="1:1" hidden="1">
      <c r="A776" s="6"/>
    </row>
    <row r="777" spans="1:1" hidden="1">
      <c r="A777" s="6"/>
    </row>
    <row r="778" spans="1:1" hidden="1">
      <c r="A778" s="6"/>
    </row>
    <row r="779" spans="1:1" hidden="1">
      <c r="A779" s="6"/>
    </row>
    <row r="780" spans="1:1" hidden="1">
      <c r="A780" s="6"/>
    </row>
    <row r="781" spans="1:1" hidden="1">
      <c r="A781" s="6"/>
    </row>
    <row r="782" spans="1:1" hidden="1">
      <c r="A782" s="6"/>
    </row>
    <row r="783" spans="1:1" hidden="1">
      <c r="A783" s="6"/>
    </row>
    <row r="784" spans="1:1" hidden="1">
      <c r="A784" s="6"/>
    </row>
    <row r="785" spans="1:1" hidden="1">
      <c r="A785" s="6"/>
    </row>
    <row r="786" spans="1:1" hidden="1">
      <c r="A786" s="6"/>
    </row>
    <row r="787" spans="1:1" hidden="1">
      <c r="A787" s="6"/>
    </row>
    <row r="788" spans="1:1" hidden="1">
      <c r="A788" s="6"/>
    </row>
    <row r="789" spans="1:1" hidden="1">
      <c r="A789" s="6"/>
    </row>
    <row r="790" spans="1:1" hidden="1">
      <c r="A790" s="6"/>
    </row>
    <row r="791" spans="1:1" hidden="1">
      <c r="A791" s="6"/>
    </row>
    <row r="792" spans="1:1" hidden="1">
      <c r="A792" s="6"/>
    </row>
    <row r="793" spans="1:1" hidden="1">
      <c r="A793" s="6"/>
    </row>
    <row r="794" spans="1:1" hidden="1">
      <c r="A794" s="6"/>
    </row>
    <row r="795" spans="1:1" hidden="1">
      <c r="A795" s="6"/>
    </row>
    <row r="796" spans="1:1" hidden="1">
      <c r="A796" s="6"/>
    </row>
    <row r="797" spans="1:1" hidden="1">
      <c r="A797" s="6"/>
    </row>
    <row r="798" spans="1:1" hidden="1">
      <c r="A798" s="6"/>
    </row>
    <row r="799" spans="1:1" hidden="1">
      <c r="A799" s="6"/>
    </row>
    <row r="800" spans="1:1" hidden="1">
      <c r="A800" s="6"/>
    </row>
    <row r="801" spans="1:1" hidden="1">
      <c r="A801" s="6"/>
    </row>
    <row r="802" spans="1:1" hidden="1">
      <c r="A802" s="6"/>
    </row>
    <row r="803" spans="1:1" hidden="1">
      <c r="A803" s="6"/>
    </row>
    <row r="804" spans="1:1" hidden="1">
      <c r="A804" s="6"/>
    </row>
    <row r="805" spans="1:1" hidden="1">
      <c r="A805" s="6"/>
    </row>
    <row r="806" spans="1:1" hidden="1">
      <c r="A806" s="6"/>
    </row>
    <row r="807" spans="1:1" hidden="1">
      <c r="A807" s="6"/>
    </row>
    <row r="808" spans="1:1" hidden="1">
      <c r="A808" s="6"/>
    </row>
    <row r="809" spans="1:1" hidden="1">
      <c r="A809" s="6"/>
    </row>
    <row r="810" spans="1:1" hidden="1">
      <c r="A810" s="6"/>
    </row>
    <row r="811" spans="1:1" hidden="1">
      <c r="A811" s="6"/>
    </row>
    <row r="812" spans="1:1" hidden="1">
      <c r="A812" s="6"/>
    </row>
    <row r="813" spans="1:1" hidden="1">
      <c r="A813" s="6"/>
    </row>
    <row r="814" spans="1:1" hidden="1">
      <c r="A814" s="6"/>
    </row>
    <row r="815" spans="1:1" hidden="1">
      <c r="A815" s="6"/>
    </row>
    <row r="816" spans="1:1" hidden="1">
      <c r="A816" s="6"/>
    </row>
    <row r="817" spans="1:1" hidden="1">
      <c r="A817" s="6"/>
    </row>
    <row r="818" spans="1:1" hidden="1">
      <c r="A818" s="6"/>
    </row>
    <row r="819" spans="1:1" hidden="1">
      <c r="A819" s="6"/>
    </row>
    <row r="820" spans="1:1" hidden="1">
      <c r="A820" s="6"/>
    </row>
    <row r="821" spans="1:1" hidden="1">
      <c r="A821" s="6"/>
    </row>
    <row r="822" spans="1:1" hidden="1">
      <c r="A822" s="6"/>
    </row>
    <row r="823" spans="1:1" hidden="1">
      <c r="A823" s="6"/>
    </row>
    <row r="824" spans="1:1" hidden="1">
      <c r="A824" s="6"/>
    </row>
    <row r="825" spans="1:1" hidden="1">
      <c r="A825" s="6"/>
    </row>
    <row r="826" spans="1:1" hidden="1">
      <c r="A826" s="6"/>
    </row>
    <row r="827" spans="1:1" hidden="1">
      <c r="A827" s="6"/>
    </row>
    <row r="828" spans="1:1" hidden="1">
      <c r="A828" s="6"/>
    </row>
    <row r="829" spans="1:1" hidden="1">
      <c r="A829" s="6"/>
    </row>
    <row r="830" spans="1:1" hidden="1">
      <c r="A830" s="6"/>
    </row>
    <row r="831" spans="1:1" hidden="1">
      <c r="A831" s="6"/>
    </row>
    <row r="832" spans="1:1" hidden="1">
      <c r="A832" s="6"/>
    </row>
    <row r="833" spans="1:1" hidden="1">
      <c r="A833" s="6"/>
    </row>
    <row r="834" spans="1:1" hidden="1">
      <c r="A834" s="6"/>
    </row>
    <row r="835" spans="1:1" hidden="1">
      <c r="A835" s="6"/>
    </row>
    <row r="836" spans="1:1" hidden="1">
      <c r="A836" s="6"/>
    </row>
    <row r="837" spans="1:1" hidden="1">
      <c r="A837" s="6"/>
    </row>
    <row r="838" spans="1:1" hidden="1">
      <c r="A838" s="6"/>
    </row>
    <row r="839" spans="1:1" hidden="1">
      <c r="A839" s="6"/>
    </row>
    <row r="840" spans="1:1" hidden="1">
      <c r="A840" s="6"/>
    </row>
    <row r="841" spans="1:1" hidden="1">
      <c r="A841" s="6"/>
    </row>
    <row r="842" spans="1:1" hidden="1">
      <c r="A842" s="6"/>
    </row>
    <row r="843" spans="1:1" hidden="1">
      <c r="A843" s="6"/>
    </row>
    <row r="844" spans="1:1" hidden="1">
      <c r="A844" s="6"/>
    </row>
    <row r="845" spans="1:1" hidden="1">
      <c r="A845" s="6"/>
    </row>
    <row r="846" spans="1:1" hidden="1">
      <c r="A846" s="6"/>
    </row>
    <row r="847" spans="1:1" hidden="1">
      <c r="A847" s="6"/>
    </row>
    <row r="848" spans="1:1" hidden="1">
      <c r="A848" s="6"/>
    </row>
    <row r="849" spans="1:1" hidden="1">
      <c r="A849" s="6"/>
    </row>
    <row r="850" spans="1:1" hidden="1">
      <c r="A850" s="6"/>
    </row>
    <row r="851" spans="1:1" hidden="1">
      <c r="A851" s="6"/>
    </row>
    <row r="852" spans="1:1" hidden="1">
      <c r="A852" s="6"/>
    </row>
    <row r="853" spans="1:1" hidden="1">
      <c r="A853" s="6"/>
    </row>
    <row r="854" spans="1:1" hidden="1">
      <c r="A854" s="6"/>
    </row>
    <row r="855" spans="1:1" hidden="1">
      <c r="A855" s="6"/>
    </row>
    <row r="856" spans="1:1" hidden="1">
      <c r="A856" s="6"/>
    </row>
    <row r="857" spans="1:1" hidden="1">
      <c r="A857" s="6"/>
    </row>
    <row r="858" spans="1:1" hidden="1">
      <c r="A858" s="6"/>
    </row>
    <row r="859" spans="1:1" hidden="1">
      <c r="A859" s="6"/>
    </row>
    <row r="860" spans="1:1" hidden="1">
      <c r="A860" s="6"/>
    </row>
    <row r="861" spans="1:1" hidden="1">
      <c r="A861" s="6"/>
    </row>
    <row r="862" spans="1:1" hidden="1">
      <c r="A862" s="6"/>
    </row>
    <row r="863" spans="1:1" hidden="1">
      <c r="A863" s="6"/>
    </row>
    <row r="864" spans="1:1" hidden="1">
      <c r="A864" s="6"/>
    </row>
    <row r="865" spans="1:1" hidden="1">
      <c r="A865" s="6"/>
    </row>
    <row r="866" spans="1:1" hidden="1">
      <c r="A866" s="6"/>
    </row>
    <row r="867" spans="1:1" hidden="1">
      <c r="A867" s="6"/>
    </row>
    <row r="868" spans="1:1" hidden="1">
      <c r="A868" s="6"/>
    </row>
    <row r="869" spans="1:1" hidden="1">
      <c r="A869" s="6"/>
    </row>
    <row r="870" spans="1:1" hidden="1">
      <c r="A870" s="6"/>
    </row>
    <row r="871" spans="1:1" hidden="1">
      <c r="A871" s="6"/>
    </row>
    <row r="872" spans="1:1" hidden="1">
      <c r="A872" s="6"/>
    </row>
    <row r="873" spans="1:1" hidden="1">
      <c r="A873" s="6"/>
    </row>
    <row r="874" spans="1:1" hidden="1">
      <c r="A874" s="6"/>
    </row>
    <row r="875" spans="1:1" hidden="1">
      <c r="A875" s="6"/>
    </row>
    <row r="876" spans="1:1" hidden="1">
      <c r="A876" s="6"/>
    </row>
    <row r="877" spans="1:1" hidden="1">
      <c r="A877" s="6"/>
    </row>
    <row r="878" spans="1:1" hidden="1">
      <c r="A878" s="6"/>
    </row>
    <row r="879" spans="1:1" hidden="1">
      <c r="A879" s="6"/>
    </row>
    <row r="880" spans="1:1" hidden="1">
      <c r="A880" s="6"/>
    </row>
    <row r="881" spans="1:1" hidden="1">
      <c r="A881" s="6"/>
    </row>
    <row r="882" spans="1:1" hidden="1">
      <c r="A882" s="6"/>
    </row>
    <row r="883" spans="1:1" hidden="1">
      <c r="A883" s="6"/>
    </row>
    <row r="884" spans="1:1" hidden="1">
      <c r="A884" s="6"/>
    </row>
    <row r="885" spans="1:1" hidden="1">
      <c r="A885" s="6"/>
    </row>
    <row r="886" spans="1:1" hidden="1">
      <c r="A886" s="6"/>
    </row>
    <row r="887" spans="1:1" hidden="1">
      <c r="A887" s="6"/>
    </row>
    <row r="888" spans="1:1" hidden="1">
      <c r="A888" s="6"/>
    </row>
    <row r="889" spans="1:1" hidden="1">
      <c r="A889" s="6"/>
    </row>
    <row r="890" spans="1:1" hidden="1">
      <c r="A890" s="6"/>
    </row>
    <row r="891" spans="1:1" hidden="1">
      <c r="A891" s="6"/>
    </row>
    <row r="892" spans="1:1" hidden="1">
      <c r="A892" s="6"/>
    </row>
    <row r="893" spans="1:1" hidden="1">
      <c r="A893" s="6"/>
    </row>
    <row r="894" spans="1:1" hidden="1">
      <c r="A894" s="6"/>
    </row>
    <row r="895" spans="1:1" hidden="1">
      <c r="A895" s="6"/>
    </row>
    <row r="896" spans="1:1" hidden="1">
      <c r="A896" s="6"/>
    </row>
    <row r="897" spans="1:1" hidden="1">
      <c r="A897" s="6"/>
    </row>
    <row r="898" spans="1:1" hidden="1">
      <c r="A898" s="6"/>
    </row>
    <row r="899" spans="1:1" hidden="1">
      <c r="A899" s="6"/>
    </row>
    <row r="900" spans="1:1" hidden="1">
      <c r="A900" s="6"/>
    </row>
    <row r="901" spans="1:1" hidden="1">
      <c r="A901" s="6"/>
    </row>
    <row r="902" spans="1:1" hidden="1">
      <c r="A902" s="6"/>
    </row>
    <row r="903" spans="1:1" hidden="1">
      <c r="A903" s="6"/>
    </row>
    <row r="904" spans="1:1" hidden="1">
      <c r="A904" s="6"/>
    </row>
    <row r="905" spans="1:1" hidden="1">
      <c r="A905" s="6"/>
    </row>
    <row r="906" spans="1:1" hidden="1">
      <c r="A906" s="6"/>
    </row>
    <row r="907" spans="1:1" hidden="1">
      <c r="A907" s="6"/>
    </row>
    <row r="908" spans="1:1" hidden="1">
      <c r="A908" s="6"/>
    </row>
    <row r="909" spans="1:1" hidden="1">
      <c r="A909" s="6"/>
    </row>
    <row r="910" spans="1:1" hidden="1">
      <c r="A910" s="6"/>
    </row>
    <row r="911" spans="1:1" hidden="1">
      <c r="A911" s="6"/>
    </row>
    <row r="912" spans="1:1" hidden="1">
      <c r="A912" s="6"/>
    </row>
    <row r="913" spans="1:1" hidden="1">
      <c r="A913" s="6"/>
    </row>
    <row r="914" spans="1:1" hidden="1">
      <c r="A914" s="6"/>
    </row>
    <row r="915" spans="1:1" hidden="1">
      <c r="A915" s="6"/>
    </row>
    <row r="916" spans="1:1" hidden="1">
      <c r="A916" s="6"/>
    </row>
    <row r="917" spans="1:1" hidden="1">
      <c r="A917" s="6"/>
    </row>
    <row r="918" spans="1:1" hidden="1">
      <c r="A918" s="6"/>
    </row>
    <row r="919" spans="1:1" hidden="1">
      <c r="A919" s="6"/>
    </row>
    <row r="920" spans="1:1" hidden="1">
      <c r="A920" s="6"/>
    </row>
    <row r="921" spans="1:1" hidden="1">
      <c r="A921" s="6"/>
    </row>
    <row r="922" spans="1:1" hidden="1">
      <c r="A922" s="6"/>
    </row>
    <row r="923" spans="1:1" hidden="1">
      <c r="A923" s="6"/>
    </row>
    <row r="924" spans="1:1" hidden="1">
      <c r="A924" s="6"/>
    </row>
    <row r="925" spans="1:1" hidden="1">
      <c r="A925" s="6"/>
    </row>
    <row r="926" spans="1:1" hidden="1">
      <c r="A926" s="6"/>
    </row>
    <row r="927" spans="1:1" hidden="1">
      <c r="A927" s="6"/>
    </row>
    <row r="928" spans="1:1" hidden="1">
      <c r="A928" s="6"/>
    </row>
    <row r="929" spans="1:1" hidden="1">
      <c r="A929" s="6"/>
    </row>
    <row r="930" spans="1:1" hidden="1">
      <c r="A930" s="6"/>
    </row>
    <row r="931" spans="1:1" hidden="1">
      <c r="A931" s="6"/>
    </row>
    <row r="932" spans="1:1" hidden="1">
      <c r="A932" s="6"/>
    </row>
    <row r="933" spans="1:1" hidden="1">
      <c r="A933" s="6"/>
    </row>
    <row r="934" spans="1:1" hidden="1">
      <c r="A934" s="6"/>
    </row>
    <row r="935" spans="1:1" hidden="1">
      <c r="A935" s="6"/>
    </row>
    <row r="936" spans="1:1" hidden="1">
      <c r="A936" s="6"/>
    </row>
    <row r="937" spans="1:1" hidden="1">
      <c r="A937" s="6"/>
    </row>
    <row r="938" spans="1:1" hidden="1">
      <c r="A938" s="6"/>
    </row>
    <row r="939" spans="1:1" hidden="1">
      <c r="A939" s="6"/>
    </row>
    <row r="940" spans="1:1" hidden="1">
      <c r="A940" s="6"/>
    </row>
    <row r="941" spans="1:1" hidden="1">
      <c r="A941" s="6"/>
    </row>
    <row r="942" spans="1:1" hidden="1">
      <c r="A942" s="6"/>
    </row>
    <row r="943" spans="1:1" hidden="1">
      <c r="A943" s="6"/>
    </row>
    <row r="944" spans="1:1" hidden="1">
      <c r="A944" s="6"/>
    </row>
    <row r="945" spans="1:1" hidden="1">
      <c r="A945" s="6"/>
    </row>
    <row r="946" spans="1:1" hidden="1">
      <c r="A946" s="6"/>
    </row>
    <row r="947" spans="1:1" hidden="1">
      <c r="A947" s="6"/>
    </row>
    <row r="948" spans="1:1" hidden="1">
      <c r="A948" s="6"/>
    </row>
    <row r="949" spans="1:1" hidden="1">
      <c r="A949" s="6"/>
    </row>
    <row r="950" spans="1:1" hidden="1">
      <c r="A950" s="6"/>
    </row>
    <row r="951" spans="1:1" hidden="1">
      <c r="A951" s="6"/>
    </row>
    <row r="952" spans="1:1" hidden="1">
      <c r="A952" s="6"/>
    </row>
    <row r="953" spans="1:1" hidden="1">
      <c r="A953" s="6"/>
    </row>
    <row r="954" spans="1:1" hidden="1">
      <c r="A954" s="6"/>
    </row>
    <row r="955" spans="1:1" hidden="1">
      <c r="A955" s="6"/>
    </row>
    <row r="956" spans="1:1" hidden="1">
      <c r="A956" s="6"/>
    </row>
  </sheetData>
  <sheetProtection password="FBD2" sheet="1" objects="1" scenarios="1"/>
  <autoFilter ref="A8:AF34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hiddenButton="1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hiddenButton="1" showButton="0"/>
    <filterColumn colId="27" showButton="0"/>
    <filterColumn colId="28" showButton="0"/>
    <filterColumn colId="29" showButton="0"/>
  </autoFilter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7">
    <mergeCell ref="C10:C11"/>
    <mergeCell ref="I10:N10"/>
    <mergeCell ref="I11:N11"/>
    <mergeCell ref="T10:U10"/>
    <mergeCell ref="V10:AA10"/>
    <mergeCell ref="T11:U11"/>
    <mergeCell ref="V11:AA11"/>
    <mergeCell ref="O10:S10"/>
    <mergeCell ref="D10:H11"/>
    <mergeCell ref="O11:S11"/>
    <mergeCell ref="Y3:Z3"/>
    <mergeCell ref="N3:X3"/>
    <mergeCell ref="D6:H6"/>
    <mergeCell ref="D4:K4"/>
    <mergeCell ref="L4:M4"/>
    <mergeCell ref="N4:X4"/>
    <mergeCell ref="D2:X2"/>
    <mergeCell ref="N6:S6"/>
    <mergeCell ref="K6:M6"/>
    <mergeCell ref="D3:K3"/>
    <mergeCell ref="L3:M3"/>
    <mergeCell ref="C41:AE41"/>
    <mergeCell ref="P5:Q5"/>
    <mergeCell ref="AB5:AC5"/>
    <mergeCell ref="S5:X5"/>
    <mergeCell ref="D5:M5"/>
    <mergeCell ref="AB11:AC11"/>
    <mergeCell ref="AD11:AE11"/>
    <mergeCell ref="C8:AE8"/>
    <mergeCell ref="C9:AE9"/>
    <mergeCell ref="AD10:AE10"/>
    <mergeCell ref="AB10:AC10"/>
    <mergeCell ref="AB6:AE7"/>
    <mergeCell ref="C1:C7"/>
    <mergeCell ref="Y4:Z4"/>
    <mergeCell ref="AB2:AC2"/>
    <mergeCell ref="V6:AA6"/>
  </mergeCells>
  <phoneticPr fontId="0" type="noConversion"/>
  <conditionalFormatting sqref="D26:AB26 AB13 Z14:AB33 D13:AA33">
    <cfRule type="cellIs" dxfId="3" priority="14" stopIfTrue="1" operator="equal">
      <formula>0</formula>
    </cfRule>
  </conditionalFormatting>
  <dataValidations count="4">
    <dataValidation type="list" allowBlank="1" showInputMessage="1" showErrorMessage="1" sqref="AB5 P5 L3:L4 AB2">
      <formula1>"Yes,No"</formula1>
    </dataValidation>
    <dataValidation type="list" allowBlank="1" showInputMessage="1" showErrorMessage="1" sqref="Y3:AA4">
      <formula1>"4,5,6,7,8,9,10,11,12,1,2,3"</formula1>
    </dataValidation>
    <dataValidation type="list" allowBlank="1" showInputMessage="1" showErrorMessage="1" sqref="AE5">
      <formula1>"8%,16%"</formula1>
    </dataValidation>
    <dataValidation type="list" allowBlank="1" showInputMessage="1" showErrorMessage="1" sqref="V6:V7 W7:AA7">
      <formula1>$AI$13:$AI$18</formula1>
    </dataValidation>
  </dataValidations>
  <printOptions horizontalCentered="1"/>
  <pageMargins left="0.4" right="0.4" top="0.38" bottom="0.75" header="0.3" footer="0.4"/>
  <pageSetup scale="58" fitToWidth="0" fitToHeight="0" orientation="landscape" r:id="rId3"/>
  <headerFooter>
    <oddFooter>&amp;CRAJTEACHERS.NET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E9" sqref="E9"/>
    </sheetView>
  </sheetViews>
  <sheetFormatPr defaultColWidth="0" defaultRowHeight="15.5" zeroHeight="1"/>
  <cols>
    <col min="1" max="1" width="52.81640625" style="1" customWidth="1" collapsed="1"/>
    <col min="2" max="2" width="14.453125" style="1" customWidth="1" collapsed="1"/>
    <col min="3" max="3" width="0.54296875" style="1" customWidth="1" collapsed="1"/>
    <col min="4" max="4" width="68.1796875" style="1" customWidth="1" collapsed="1"/>
    <col min="5" max="5" width="14.453125" style="1" customWidth="1" collapsed="1"/>
    <col min="6" max="6" width="17.54296875" style="44" customWidth="1" collapsed="1"/>
    <col min="7" max="7" width="15.1796875" style="1" hidden="1" customWidth="1" collapsed="1"/>
    <col min="8" max="8" width="7.1796875" style="1" hidden="1" customWidth="1" collapsed="1"/>
    <col min="9" max="9" width="5.81640625" style="1" hidden="1" customWidth="1" collapsed="1"/>
    <col min="10" max="11" width="7.1796875" style="1" hidden="1" customWidth="1" collapsed="1"/>
    <col min="12" max="12" width="7.81640625" style="1" hidden="1" customWidth="1" collapsed="1"/>
    <col min="13" max="13" width="8.179687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81640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1796875" style="1" hidden="1" customWidth="1" collapsed="1"/>
    <col min="31" max="31" width="8.1796875" style="1" hidden="1" customWidth="1" collapsed="1"/>
    <col min="32" max="33" width="5.1796875" style="1" hidden="1" customWidth="1" collapsed="1"/>
    <col min="34" max="34" width="8.179687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1796875" style="1" hidden="1" customWidth="1" collapsed="1"/>
    <col min="41" max="41" width="7.81640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179687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81640625" style="1" hidden="1" customWidth="1" collapsed="1"/>
    <col min="67" max="67" width="5.1796875" style="1" hidden="1" customWidth="1" collapsed="1"/>
    <col min="68" max="69" width="7.81640625" style="1" hidden="1" customWidth="1" collapsed="1"/>
    <col min="70" max="71" width="7.1796875" style="1" hidden="1" customWidth="1" collapsed="1"/>
    <col min="72" max="72" width="9.81640625" style="1" hidden="1" customWidth="1" collapsed="1"/>
    <col min="73" max="73" width="9.1796875" style="1" hidden="1" customWidth="1" collapsed="1"/>
    <col min="74" max="75" width="7.81640625" style="1" hidden="1" customWidth="1" collapsed="1"/>
    <col min="76" max="76" width="9.179687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1796875" style="1" hidden="1" customWidth="1" collapsed="1"/>
    <col min="81" max="81" width="9" style="1" hidden="1" customWidth="1" collapsed="1"/>
    <col min="82" max="82" width="7.81640625" style="1" hidden="1" customWidth="1" collapsed="1"/>
    <col min="83" max="83" width="5.1796875" style="1" hidden="1" customWidth="1" collapsed="1"/>
    <col min="84" max="84" width="7.1796875" style="1" hidden="1" customWidth="1" collapsed="1"/>
    <col min="85" max="85" width="6.54296875" style="1" hidden="1" customWidth="1" collapsed="1"/>
    <col min="86" max="86" width="6.179687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1796875" style="1" hidden="1" customWidth="1" collapsed="1"/>
    <col min="90" max="95" width="5.1796875" style="1" hidden="1" customWidth="1" collapsed="1"/>
    <col min="96" max="96" width="7.54296875" style="1" hidden="1" customWidth="1" collapsed="1"/>
    <col min="97" max="97" width="7.1796875" style="1" hidden="1" customWidth="1" collapsed="1"/>
    <col min="98" max="98" width="12.81640625" style="1" hidden="1" customWidth="1" collapsed="1"/>
    <col min="99" max="99" width="7.179687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81640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242" t="s">
        <v>148</v>
      </c>
      <c r="B1" s="242"/>
      <c r="C1" s="242"/>
      <c r="D1" s="242"/>
      <c r="E1" s="242"/>
      <c r="F1" s="242"/>
    </row>
    <row r="2" spans="1:122" ht="27.75" customHeight="1">
      <c r="A2" s="243" t="str">
        <f>'Master Data'!D10&amp; " ,   " &amp;'Master Data'!O10&amp;"                         PAN-  "&amp;'Master Data'!V10</f>
        <v>PARMANAND MEGHWAL ,   SENIOR TEACHER                         PAN-  XXXXXXXXX</v>
      </c>
      <c r="B2" s="243"/>
      <c r="C2" s="243"/>
      <c r="D2" s="243"/>
      <c r="E2" s="243"/>
      <c r="F2" s="243"/>
    </row>
    <row r="3" spans="1:122" ht="15" customHeight="1">
      <c r="A3" s="71" t="s">
        <v>122</v>
      </c>
      <c r="B3" s="72">
        <v>0</v>
      </c>
      <c r="C3" s="73"/>
      <c r="D3" s="74" t="s">
        <v>175</v>
      </c>
      <c r="E3" s="72">
        <v>0</v>
      </c>
      <c r="F3" s="67" t="s">
        <v>183</v>
      </c>
      <c r="DR3" s="5" t="s">
        <v>18</v>
      </c>
    </row>
    <row r="4" spans="1:122" ht="16.5">
      <c r="A4" s="77" t="s">
        <v>123</v>
      </c>
      <c r="B4" s="78">
        <v>0</v>
      </c>
      <c r="C4" s="79"/>
      <c r="D4" s="80" t="s">
        <v>157</v>
      </c>
      <c r="E4" s="78">
        <v>0</v>
      </c>
      <c r="F4" s="67">
        <f>'Master Data'!N34-'Master Data'!I34</f>
        <v>1278318</v>
      </c>
      <c r="DR4" s="5"/>
    </row>
    <row r="5" spans="1:122" ht="15" customHeight="1">
      <c r="A5" s="71" t="s">
        <v>124</v>
      </c>
      <c r="B5" s="72">
        <v>0</v>
      </c>
      <c r="C5" s="73"/>
      <c r="D5" s="75" t="s">
        <v>151</v>
      </c>
      <c r="E5" s="72">
        <v>0</v>
      </c>
      <c r="F5" s="68" t="s">
        <v>26</v>
      </c>
      <c r="DR5" s="5"/>
    </row>
    <row r="6" spans="1:122" ht="17.25" customHeight="1">
      <c r="A6" s="81" t="s">
        <v>125</v>
      </c>
      <c r="B6" s="78">
        <v>0</v>
      </c>
      <c r="C6" s="79"/>
      <c r="D6" s="80" t="s">
        <v>160</v>
      </c>
      <c r="E6" s="78">
        <v>0</v>
      </c>
      <c r="F6" s="68">
        <f>'Tax Calculation (Old)'!Q47</f>
        <v>1154430</v>
      </c>
      <c r="DR6" s="5"/>
    </row>
    <row r="7" spans="1:122" ht="15" customHeight="1">
      <c r="A7" s="71" t="s">
        <v>126</v>
      </c>
      <c r="B7" s="72">
        <v>0</v>
      </c>
      <c r="C7" s="73"/>
      <c r="D7" s="76" t="s">
        <v>161</v>
      </c>
      <c r="E7" s="72">
        <v>0</v>
      </c>
      <c r="F7" s="69" t="s">
        <v>69</v>
      </c>
      <c r="DR7" s="5"/>
    </row>
    <row r="8" spans="1:122" ht="15" customHeight="1">
      <c r="A8" s="82" t="s">
        <v>127</v>
      </c>
      <c r="B8" s="83">
        <v>0</v>
      </c>
      <c r="C8" s="79"/>
      <c r="D8" s="80" t="s">
        <v>162</v>
      </c>
      <c r="E8" s="83">
        <v>0</v>
      </c>
      <c r="F8" s="70">
        <f>'Master Data'!Y34</f>
        <v>0</v>
      </c>
      <c r="DR8" s="5"/>
    </row>
    <row r="9" spans="1:122" ht="15" customHeight="1">
      <c r="A9" s="71" t="s">
        <v>128</v>
      </c>
      <c r="B9" s="72">
        <v>0</v>
      </c>
      <c r="C9" s="73"/>
      <c r="D9" s="75" t="s">
        <v>163</v>
      </c>
      <c r="E9" s="72">
        <v>0</v>
      </c>
      <c r="F9" s="244" t="s">
        <v>109</v>
      </c>
      <c r="DR9" s="5"/>
    </row>
    <row r="10" spans="1:122" ht="15" customHeight="1">
      <c r="A10" s="82" t="s">
        <v>129</v>
      </c>
      <c r="B10" s="83">
        <v>0</v>
      </c>
      <c r="C10" s="79"/>
      <c r="D10" s="84" t="s">
        <v>192</v>
      </c>
      <c r="E10" s="83">
        <v>0</v>
      </c>
      <c r="F10" s="244"/>
      <c r="DR10" s="5" t="s">
        <v>19</v>
      </c>
    </row>
    <row r="11" spans="1:122" ht="15" customHeight="1">
      <c r="A11" s="71" t="s">
        <v>130</v>
      </c>
      <c r="B11" s="72">
        <v>0</v>
      </c>
      <c r="C11" s="73"/>
      <c r="D11" s="75" t="s">
        <v>164</v>
      </c>
      <c r="E11" s="72">
        <v>0</v>
      </c>
      <c r="F11" s="244"/>
      <c r="DR11" s="5" t="s">
        <v>21</v>
      </c>
    </row>
    <row r="12" spans="1:122" ht="15" customHeight="1">
      <c r="A12" s="82" t="s">
        <v>131</v>
      </c>
      <c r="B12" s="83">
        <v>0</v>
      </c>
      <c r="C12" s="79"/>
      <c r="D12" s="84" t="s">
        <v>165</v>
      </c>
      <c r="E12" s="83">
        <v>0</v>
      </c>
      <c r="F12" s="68">
        <f>'Tax Calculation (Old)'!Q31</f>
        <v>142290</v>
      </c>
      <c r="DR12" s="5" t="s">
        <v>4</v>
      </c>
    </row>
    <row r="13" spans="1:122" ht="15" customHeight="1">
      <c r="A13" s="71" t="s">
        <v>132</v>
      </c>
      <c r="B13" s="72">
        <v>0</v>
      </c>
      <c r="C13" s="73"/>
      <c r="D13" s="75" t="s">
        <v>166</v>
      </c>
      <c r="E13" s="72">
        <v>0</v>
      </c>
      <c r="F13" s="68"/>
      <c r="DR13" s="5"/>
    </row>
    <row r="14" spans="1:122" ht="15" customHeight="1">
      <c r="A14" s="82" t="s">
        <v>133</v>
      </c>
      <c r="B14" s="83">
        <v>0</v>
      </c>
      <c r="C14" s="79"/>
      <c r="D14" s="84" t="s">
        <v>158</v>
      </c>
      <c r="E14" s="83">
        <v>0</v>
      </c>
      <c r="F14" s="245" t="s">
        <v>8</v>
      </c>
      <c r="DR14" s="5" t="s">
        <v>0</v>
      </c>
    </row>
    <row r="15" spans="1:122" ht="15" customHeight="1">
      <c r="A15" s="71" t="s">
        <v>134</v>
      </c>
      <c r="B15" s="72">
        <v>0</v>
      </c>
      <c r="C15" s="73"/>
      <c r="D15" s="75" t="s">
        <v>167</v>
      </c>
      <c r="E15" s="72">
        <v>0</v>
      </c>
      <c r="F15" s="245"/>
      <c r="DR15" s="5" t="s">
        <v>21</v>
      </c>
    </row>
    <row r="16" spans="1:122" ht="15" customHeight="1">
      <c r="A16" s="82" t="s">
        <v>135</v>
      </c>
      <c r="B16" s="83">
        <v>0</v>
      </c>
      <c r="C16" s="79"/>
      <c r="D16" s="84" t="s">
        <v>168</v>
      </c>
      <c r="E16" s="83">
        <v>0</v>
      </c>
      <c r="F16" s="245"/>
      <c r="DR16" s="5" t="s">
        <v>22</v>
      </c>
    </row>
    <row r="17" spans="1:122" ht="15" customHeight="1">
      <c r="A17" s="71" t="s">
        <v>136</v>
      </c>
      <c r="B17" s="72">
        <v>0</v>
      </c>
      <c r="C17" s="73"/>
      <c r="D17" s="75" t="s">
        <v>169</v>
      </c>
      <c r="E17" s="72">
        <v>0</v>
      </c>
      <c r="F17" s="248">
        <f>ROUND((F4*10%+F19),0)</f>
        <v>212611</v>
      </c>
      <c r="DR17" s="5" t="s">
        <v>5</v>
      </c>
    </row>
    <row r="18" spans="1:122" ht="15" customHeight="1">
      <c r="A18" s="82" t="s">
        <v>150</v>
      </c>
      <c r="B18" s="83">
        <v>0</v>
      </c>
      <c r="C18" s="79"/>
      <c r="D18" s="84" t="s">
        <v>159</v>
      </c>
      <c r="E18" s="83">
        <v>0</v>
      </c>
      <c r="F18" s="248"/>
      <c r="DR18" s="5" t="s">
        <v>23</v>
      </c>
    </row>
    <row r="19" spans="1:122" ht="15" customHeight="1">
      <c r="A19" s="247" t="str">
        <f>'Tax Calculation (Old)'!B63</f>
        <v>Income Tax Payable</v>
      </c>
      <c r="B19" s="247"/>
      <c r="C19" s="62"/>
      <c r="D19" s="63">
        <f>'Tax Calculation (Old)'!Q63</f>
        <v>165182</v>
      </c>
      <c r="E19" s="85" t="s">
        <v>149</v>
      </c>
      <c r="F19" s="66">
        <f>'Master Data'!I34</f>
        <v>84779</v>
      </c>
      <c r="DR19" s="5" t="s">
        <v>7</v>
      </c>
    </row>
    <row r="20" spans="1:122" ht="15" customHeight="1">
      <c r="A20" s="246" t="str">
        <f>"Total Rebate of (US 80C, 80CCC,80CCD(1)) =  "&amp;'Tax Calculation (Old)'!Q31</f>
        <v>Total Rebate of (US 80C, 80CCC,80CCD(1)) =  142290</v>
      </c>
      <c r="B20" s="246"/>
      <c r="C20" s="2"/>
      <c r="D20" s="45" t="str">
        <f>"Investable Amount = "&amp;(150000-'Tax Calculation (Old)'!Q31)</f>
        <v>Investable Amount = 7710</v>
      </c>
      <c r="E20" s="2"/>
      <c r="F20" s="2"/>
      <c r="DR20" s="5" t="s">
        <v>20</v>
      </c>
    </row>
    <row r="21" spans="1:122" ht="48" customHeight="1">
      <c r="A21" s="240" t="s">
        <v>210</v>
      </c>
      <c r="B21" s="241"/>
      <c r="C21" s="241"/>
      <c r="D21" s="241"/>
      <c r="E21" s="241"/>
      <c r="F21" s="241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FF00"/>
  </sheetPr>
  <dimension ref="A1:R79"/>
  <sheetViews>
    <sheetView showGridLines="0" topLeftCell="A16" workbookViewId="0">
      <selection activeCell="C6" sqref="C6:O6"/>
    </sheetView>
  </sheetViews>
  <sheetFormatPr defaultColWidth="0" defaultRowHeight="15.5" zeroHeight="1"/>
  <cols>
    <col min="1" max="1" width="3" customWidth="1" collapsed="1"/>
    <col min="2" max="2" width="2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81640625" style="14" customWidth="1" collapsed="1"/>
    <col min="9" max="9" width="10.54296875" style="14" customWidth="1" collapsed="1"/>
    <col min="10" max="10" width="5.1796875" style="14" customWidth="1" collapsed="1"/>
    <col min="11" max="11" width="10.179687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" style="14" customWidth="1" collapsed="1"/>
    <col min="16" max="16" width="2.81640625" style="16" bestFit="1" customWidth="1" collapsed="1"/>
    <col min="17" max="17" width="18" style="17" customWidth="1" collapsed="1"/>
    <col min="18" max="18" width="2.453125" customWidth="1" collapsed="1"/>
    <col min="19" max="16384" width="9.1796875" hidden="1" collapsed="1"/>
  </cols>
  <sheetData>
    <row r="1" spans="1:18" s="20" customFormat="1" ht="18.5">
      <c r="A1" s="138"/>
      <c r="B1" s="269" t="str">
        <f>'Master Data'!C8</f>
        <v>GOVT SR. SEC SCHOOL DILOD HATHI, ATRU BARAN</v>
      </c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138"/>
    </row>
    <row r="2" spans="1:18" s="20" customFormat="1" ht="21" thickBot="1">
      <c r="A2" s="138"/>
      <c r="B2" s="270" t="s">
        <v>196</v>
      </c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138"/>
    </row>
    <row r="3" spans="1:18" s="20" customFormat="1" ht="15" customHeight="1">
      <c r="A3" s="138"/>
      <c r="B3" s="139">
        <v>1</v>
      </c>
      <c r="C3" s="271" t="s">
        <v>10</v>
      </c>
      <c r="D3" s="272"/>
      <c r="E3" s="279" t="str">
        <f>'Master Data'!D10</f>
        <v>PARMANAND MEGHWAL</v>
      </c>
      <c r="F3" s="279"/>
      <c r="G3" s="279"/>
      <c r="H3" s="279"/>
      <c r="I3" s="279"/>
      <c r="J3" s="279"/>
      <c r="K3" s="140" t="s">
        <v>29</v>
      </c>
      <c r="L3" s="280" t="str">
        <f>'Master Data'!O10</f>
        <v>SENIOR TEACHER</v>
      </c>
      <c r="M3" s="280"/>
      <c r="N3" s="280"/>
      <c r="O3" s="141" t="s">
        <v>28</v>
      </c>
      <c r="P3" s="273" t="str">
        <f>IF('Master Data'!V10="","",'Master Data'!V10)</f>
        <v>XXXXXXXXX</v>
      </c>
      <c r="Q3" s="274"/>
      <c r="R3" s="138"/>
    </row>
    <row r="4" spans="1:18" s="20" customFormat="1" ht="15" customHeight="1">
      <c r="A4" s="138"/>
      <c r="B4" s="142">
        <v>2</v>
      </c>
      <c r="C4" s="275" t="s">
        <v>253</v>
      </c>
      <c r="D4" s="275"/>
      <c r="E4" s="250"/>
      <c r="F4" s="250"/>
      <c r="G4" s="250"/>
      <c r="H4" s="250"/>
      <c r="I4" s="250"/>
      <c r="J4" s="250"/>
      <c r="K4" s="275"/>
      <c r="L4" s="250"/>
      <c r="M4" s="250"/>
      <c r="N4" s="250"/>
      <c r="O4" s="275"/>
      <c r="P4" s="171" t="s">
        <v>11</v>
      </c>
      <c r="Q4" s="143">
        <f>IF('Master Data'!AB2="No",'Master Data'!N34,('Master Data'!N34+'Master Data'!O34))</f>
        <v>1363097</v>
      </c>
      <c r="R4" s="138"/>
    </row>
    <row r="5" spans="1:18" s="20" customFormat="1" ht="15" customHeight="1">
      <c r="A5" s="138"/>
      <c r="B5" s="142">
        <v>3</v>
      </c>
      <c r="C5" s="250" t="s">
        <v>117</v>
      </c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0"/>
      <c r="P5" s="171" t="s">
        <v>11</v>
      </c>
      <c r="Q5" s="144">
        <f>'Other Deduction'!B3</f>
        <v>0</v>
      </c>
      <c r="R5" s="138"/>
    </row>
    <row r="6" spans="1:18" s="20" customFormat="1" ht="15" customHeight="1">
      <c r="A6" s="138"/>
      <c r="B6" s="142">
        <v>4</v>
      </c>
      <c r="C6" s="276" t="s">
        <v>30</v>
      </c>
      <c r="D6" s="276"/>
      <c r="E6" s="276"/>
      <c r="F6" s="276"/>
      <c r="G6" s="276"/>
      <c r="H6" s="276"/>
      <c r="I6" s="276"/>
      <c r="J6" s="276"/>
      <c r="K6" s="276"/>
      <c r="L6" s="276"/>
      <c r="M6" s="276"/>
      <c r="N6" s="276"/>
      <c r="O6" s="276"/>
      <c r="P6" s="171" t="s">
        <v>11</v>
      </c>
      <c r="Q6" s="144">
        <f>Q4-Q5</f>
        <v>1363097</v>
      </c>
      <c r="R6" s="138"/>
    </row>
    <row r="7" spans="1:18" s="20" customFormat="1" ht="15" customHeight="1">
      <c r="A7" s="138"/>
      <c r="B7" s="281">
        <v>5</v>
      </c>
      <c r="C7" s="277" t="s">
        <v>72</v>
      </c>
      <c r="D7" s="278"/>
      <c r="E7" s="278"/>
      <c r="F7" s="278"/>
      <c r="G7" s="278"/>
      <c r="H7" s="278"/>
      <c r="I7" s="278"/>
      <c r="J7" s="278"/>
      <c r="K7" s="278"/>
      <c r="L7" s="278"/>
      <c r="M7" s="263">
        <f>'Other Deduction'!B4</f>
        <v>0</v>
      </c>
      <c r="N7" s="263"/>
      <c r="O7" s="263"/>
      <c r="P7" s="284"/>
      <c r="Q7" s="285"/>
      <c r="R7" s="138"/>
    </row>
    <row r="8" spans="1:18" s="20" customFormat="1" ht="15" customHeight="1">
      <c r="A8" s="138"/>
      <c r="B8" s="282"/>
      <c r="C8" s="277" t="s">
        <v>73</v>
      </c>
      <c r="D8" s="278"/>
      <c r="E8" s="278"/>
      <c r="F8" s="278"/>
      <c r="G8" s="278"/>
      <c r="H8" s="278"/>
      <c r="I8" s="278"/>
      <c r="J8" s="278"/>
      <c r="K8" s="278"/>
      <c r="L8" s="278"/>
      <c r="M8" s="263">
        <f>'Other Deduction'!B5</f>
        <v>0</v>
      </c>
      <c r="N8" s="263"/>
      <c r="O8" s="263"/>
      <c r="P8" s="286"/>
      <c r="Q8" s="287"/>
      <c r="R8" s="138"/>
    </row>
    <row r="9" spans="1:18" s="20" customFormat="1" ht="15" customHeight="1">
      <c r="A9" s="138"/>
      <c r="B9" s="283"/>
      <c r="C9" s="277" t="s">
        <v>182</v>
      </c>
      <c r="D9" s="278"/>
      <c r="E9" s="278"/>
      <c r="F9" s="278"/>
      <c r="G9" s="278"/>
      <c r="H9" s="278"/>
      <c r="I9" s="278"/>
      <c r="J9" s="278"/>
      <c r="K9" s="278"/>
      <c r="L9" s="278"/>
      <c r="M9" s="263">
        <f>IF(Q6&lt;50000,Q6,50000)</f>
        <v>50000</v>
      </c>
      <c r="N9" s="263"/>
      <c r="O9" s="263"/>
      <c r="P9" s="171" t="s">
        <v>11</v>
      </c>
      <c r="Q9" s="144">
        <f>SUM(M7:O9)</f>
        <v>50000</v>
      </c>
      <c r="R9" s="138"/>
    </row>
    <row r="10" spans="1:18" s="20" customFormat="1" ht="15" customHeight="1">
      <c r="A10" s="138"/>
      <c r="B10" s="142">
        <v>6</v>
      </c>
      <c r="C10" s="251" t="s">
        <v>12</v>
      </c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1"/>
      <c r="O10" s="251"/>
      <c r="P10" s="171" t="s">
        <v>11</v>
      </c>
      <c r="Q10" s="144">
        <f>Q6-Q9</f>
        <v>1313097</v>
      </c>
      <c r="R10" s="138"/>
    </row>
    <row r="11" spans="1:18" s="20" customFormat="1" ht="15" customHeight="1">
      <c r="A11" s="138"/>
      <c r="B11" s="249">
        <v>7</v>
      </c>
      <c r="C11" s="250" t="s">
        <v>31</v>
      </c>
      <c r="D11" s="250"/>
      <c r="E11" s="250"/>
      <c r="F11" s="250"/>
      <c r="G11" s="250"/>
      <c r="H11" s="250"/>
      <c r="I11" s="250"/>
      <c r="J11" s="250"/>
      <c r="K11" s="251" t="s">
        <v>32</v>
      </c>
      <c r="L11" s="251"/>
      <c r="M11" s="263">
        <f>'Other Deduction'!B6</f>
        <v>0</v>
      </c>
      <c r="N11" s="263"/>
      <c r="O11" s="263"/>
      <c r="P11" s="264"/>
      <c r="Q11" s="265"/>
      <c r="R11" s="138"/>
    </row>
    <row r="12" spans="1:18" s="20" customFormat="1" ht="15" customHeight="1">
      <c r="A12" s="138"/>
      <c r="B12" s="249"/>
      <c r="C12" s="258" t="s">
        <v>33</v>
      </c>
      <c r="D12" s="259"/>
      <c r="E12" s="255" t="s">
        <v>87</v>
      </c>
      <c r="F12" s="256"/>
      <c r="G12" s="257"/>
      <c r="H12" s="266" t="s">
        <v>13</v>
      </c>
      <c r="I12" s="266"/>
      <c r="J12" s="266"/>
      <c r="K12" s="251" t="s">
        <v>34</v>
      </c>
      <c r="L12" s="251"/>
      <c r="M12" s="251" t="s">
        <v>64</v>
      </c>
      <c r="N12" s="251"/>
      <c r="O12" s="251"/>
      <c r="P12" s="264"/>
      <c r="Q12" s="265"/>
      <c r="R12" s="138"/>
    </row>
    <row r="13" spans="1:18" s="20" customFormat="1" ht="15" customHeight="1">
      <c r="A13" s="138"/>
      <c r="B13" s="249"/>
      <c r="C13" s="260"/>
      <c r="D13" s="261"/>
      <c r="E13" s="252">
        <f>ROUND(M11*0.3,0)</f>
        <v>0</v>
      </c>
      <c r="F13" s="253"/>
      <c r="G13" s="254"/>
      <c r="H13" s="263">
        <f>IF(('Master Data'!X34+'Other Deduction'!B9)&gt;200000,200000,('Master Data'!X34+'Other Deduction'!B9))</f>
        <v>0</v>
      </c>
      <c r="I13" s="263"/>
      <c r="J13" s="263"/>
      <c r="K13" s="263">
        <f>'Other Deduction'!B7</f>
        <v>0</v>
      </c>
      <c r="L13" s="263"/>
      <c r="M13" s="263">
        <f>E13+H13+K13</f>
        <v>0</v>
      </c>
      <c r="N13" s="263"/>
      <c r="O13" s="263"/>
      <c r="P13" s="264"/>
      <c r="Q13" s="265"/>
      <c r="R13" s="138"/>
    </row>
    <row r="14" spans="1:18" s="20" customFormat="1" ht="15" customHeight="1">
      <c r="A14" s="138"/>
      <c r="B14" s="142"/>
      <c r="C14" s="251" t="s">
        <v>35</v>
      </c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1"/>
      <c r="O14" s="251"/>
      <c r="P14" s="171" t="s">
        <v>11</v>
      </c>
      <c r="Q14" s="144">
        <f>M11-M13</f>
        <v>0</v>
      </c>
      <c r="R14" s="138"/>
    </row>
    <row r="15" spans="1:18" s="20" customFormat="1" ht="15" customHeight="1">
      <c r="A15" s="138"/>
      <c r="B15" s="142">
        <v>8</v>
      </c>
      <c r="C15" s="251" t="s">
        <v>65</v>
      </c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1"/>
      <c r="O15" s="251"/>
      <c r="P15" s="171" t="s">
        <v>11</v>
      </c>
      <c r="Q15" s="144">
        <f>Q10+Q14</f>
        <v>1313097</v>
      </c>
      <c r="R15" s="138"/>
    </row>
    <row r="16" spans="1:18" s="20" customFormat="1" ht="15" customHeight="1">
      <c r="A16" s="138"/>
      <c r="B16" s="142">
        <v>9</v>
      </c>
      <c r="C16" s="250" t="s">
        <v>27</v>
      </c>
      <c r="D16" s="250"/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171" t="s">
        <v>11</v>
      </c>
      <c r="Q16" s="144">
        <f>'Other Deduction'!E3+'Other Deduction'!E4</f>
        <v>0</v>
      </c>
      <c r="R16" s="138"/>
    </row>
    <row r="17" spans="1:18" s="20" customFormat="1" ht="15" customHeight="1">
      <c r="A17" s="138"/>
      <c r="B17" s="142">
        <v>10</v>
      </c>
      <c r="C17" s="250" t="s">
        <v>36</v>
      </c>
      <c r="D17" s="250"/>
      <c r="E17" s="250"/>
      <c r="F17" s="250"/>
      <c r="G17" s="250"/>
      <c r="H17" s="250"/>
      <c r="I17" s="250"/>
      <c r="J17" s="250"/>
      <c r="K17" s="250"/>
      <c r="L17" s="250"/>
      <c r="M17" s="250"/>
      <c r="N17" s="250"/>
      <c r="O17" s="250"/>
      <c r="P17" s="171" t="s">
        <v>11</v>
      </c>
      <c r="Q17" s="143">
        <f>Q15+Q16</f>
        <v>1313097</v>
      </c>
      <c r="R17" s="138"/>
    </row>
    <row r="18" spans="1:18" s="20" customFormat="1" ht="15" customHeight="1">
      <c r="A18" s="138"/>
      <c r="B18" s="281">
        <v>11</v>
      </c>
      <c r="C18" s="268" t="s">
        <v>118</v>
      </c>
      <c r="D18" s="268"/>
      <c r="E18" s="268"/>
      <c r="F18" s="268"/>
      <c r="G18" s="268"/>
      <c r="H18" s="268"/>
      <c r="I18" s="268"/>
      <c r="J18" s="268"/>
      <c r="K18" s="268"/>
      <c r="L18" s="268"/>
      <c r="M18" s="268"/>
      <c r="N18" s="268"/>
      <c r="O18" s="268"/>
      <c r="P18" s="268"/>
      <c r="Q18" s="288"/>
      <c r="R18" s="138"/>
    </row>
    <row r="19" spans="1:18" s="20" customFormat="1" ht="15" customHeight="1">
      <c r="A19" s="138"/>
      <c r="B19" s="282"/>
      <c r="C19" s="289" t="s">
        <v>103</v>
      </c>
      <c r="D19" s="289"/>
      <c r="E19" s="289"/>
      <c r="F19" s="289"/>
      <c r="G19" s="289"/>
      <c r="H19" s="289"/>
      <c r="I19" s="289"/>
      <c r="J19" s="289"/>
      <c r="K19" s="289"/>
      <c r="L19" s="289"/>
      <c r="M19" s="289"/>
      <c r="N19" s="289"/>
      <c r="O19" s="289"/>
      <c r="P19" s="289"/>
      <c r="Q19" s="290"/>
      <c r="R19" s="138"/>
    </row>
    <row r="20" spans="1:18" s="20" customFormat="1" ht="15" customHeight="1">
      <c r="A20" s="138"/>
      <c r="B20" s="282"/>
      <c r="C20" s="145" t="s">
        <v>37</v>
      </c>
      <c r="D20" s="250" t="s">
        <v>74</v>
      </c>
      <c r="E20" s="250"/>
      <c r="F20" s="250"/>
      <c r="G20" s="250"/>
      <c r="H20" s="171" t="s">
        <v>11</v>
      </c>
      <c r="I20" s="65">
        <f>'Master Data'!Q34+'Master Data'!R34</f>
        <v>36000</v>
      </c>
      <c r="J20" s="145" t="s">
        <v>38</v>
      </c>
      <c r="K20" s="291" t="s">
        <v>111</v>
      </c>
      <c r="L20" s="291"/>
      <c r="M20" s="291"/>
      <c r="N20" s="171" t="s">
        <v>11</v>
      </c>
      <c r="O20" s="65">
        <f>IF('Master Data'!AB2="Yes",'Master Data'!O34-Q33,0)</f>
        <v>0</v>
      </c>
      <c r="P20" s="284"/>
      <c r="Q20" s="285"/>
      <c r="R20" s="138"/>
    </row>
    <row r="21" spans="1:18" s="20" customFormat="1" ht="15" customHeight="1">
      <c r="A21" s="138"/>
      <c r="B21" s="282"/>
      <c r="C21" s="145" t="s">
        <v>39</v>
      </c>
      <c r="D21" s="250" t="s">
        <v>75</v>
      </c>
      <c r="E21" s="250"/>
      <c r="F21" s="250"/>
      <c r="G21" s="250"/>
      <c r="H21" s="171" t="s">
        <v>11</v>
      </c>
      <c r="I21" s="65">
        <f>'Master Data'!U34+'Other Deduction'!B10</f>
        <v>0</v>
      </c>
      <c r="J21" s="145" t="s">
        <v>40</v>
      </c>
      <c r="K21" s="292" t="s">
        <v>41</v>
      </c>
      <c r="L21" s="292"/>
      <c r="M21" s="292"/>
      <c r="N21" s="171" t="s">
        <v>11</v>
      </c>
      <c r="O21" s="65">
        <f>'Other Deduction'!E6</f>
        <v>0</v>
      </c>
      <c r="P21" s="296"/>
      <c r="Q21" s="297"/>
      <c r="R21" s="138"/>
    </row>
    <row r="22" spans="1:18" s="20" customFormat="1" ht="15" customHeight="1">
      <c r="A22" s="138"/>
      <c r="B22" s="282"/>
      <c r="C22" s="145" t="s">
        <v>42</v>
      </c>
      <c r="D22" s="250" t="s">
        <v>76</v>
      </c>
      <c r="E22" s="250"/>
      <c r="F22" s="250"/>
      <c r="G22" s="250"/>
      <c r="H22" s="171" t="s">
        <v>11</v>
      </c>
      <c r="I22" s="65">
        <f>'Other Deduction'!B14</f>
        <v>0</v>
      </c>
      <c r="J22" s="145" t="s">
        <v>43</v>
      </c>
      <c r="K22" s="292" t="s">
        <v>17</v>
      </c>
      <c r="L22" s="292"/>
      <c r="M22" s="292"/>
      <c r="N22" s="171" t="s">
        <v>11</v>
      </c>
      <c r="O22" s="146">
        <f>'Other Deduction'!B15</f>
        <v>0</v>
      </c>
      <c r="P22" s="296"/>
      <c r="Q22" s="297"/>
      <c r="R22" s="138"/>
    </row>
    <row r="23" spans="1:18" s="20" customFormat="1" ht="15" customHeight="1">
      <c r="A23" s="138"/>
      <c r="B23" s="282"/>
      <c r="C23" s="145" t="s">
        <v>44</v>
      </c>
      <c r="D23" s="250" t="s">
        <v>77</v>
      </c>
      <c r="E23" s="250"/>
      <c r="F23" s="250"/>
      <c r="G23" s="250"/>
      <c r="H23" s="171" t="s">
        <v>11</v>
      </c>
      <c r="I23" s="65">
        <f>'Other Deduction'!B16</f>
        <v>0</v>
      </c>
      <c r="J23" s="145" t="s">
        <v>45</v>
      </c>
      <c r="K23" s="292" t="s">
        <v>104</v>
      </c>
      <c r="L23" s="292"/>
      <c r="M23" s="292"/>
      <c r="N23" s="171" t="s">
        <v>11</v>
      </c>
      <c r="O23" s="146">
        <f>'Other Deduction'!B12</f>
        <v>0</v>
      </c>
      <c r="P23" s="296"/>
      <c r="Q23" s="297"/>
      <c r="R23" s="138"/>
    </row>
    <row r="24" spans="1:18" s="20" customFormat="1" ht="15" customHeight="1">
      <c r="A24" s="138"/>
      <c r="B24" s="282"/>
      <c r="C24" s="145" t="s">
        <v>46</v>
      </c>
      <c r="D24" s="250" t="s">
        <v>78</v>
      </c>
      <c r="E24" s="250"/>
      <c r="F24" s="250"/>
      <c r="G24" s="250"/>
      <c r="H24" s="171" t="s">
        <v>11</v>
      </c>
      <c r="I24" s="65">
        <f>'Other Deduction'!B17</f>
        <v>0</v>
      </c>
      <c r="J24" s="145" t="s">
        <v>47</v>
      </c>
      <c r="K24" s="292" t="s">
        <v>107</v>
      </c>
      <c r="L24" s="292"/>
      <c r="M24" s="292"/>
      <c r="N24" s="171" t="s">
        <v>11</v>
      </c>
      <c r="O24" s="65">
        <f>'Other Deduction'!E15</f>
        <v>0</v>
      </c>
      <c r="P24" s="296"/>
      <c r="Q24" s="297"/>
      <c r="R24" s="138"/>
    </row>
    <row r="25" spans="1:18" s="20" customFormat="1" ht="15" customHeight="1">
      <c r="A25" s="138"/>
      <c r="B25" s="282"/>
      <c r="C25" s="145" t="s">
        <v>48</v>
      </c>
      <c r="D25" s="250" t="s">
        <v>79</v>
      </c>
      <c r="E25" s="250"/>
      <c r="F25" s="250"/>
      <c r="G25" s="250"/>
      <c r="H25" s="171" t="s">
        <v>11</v>
      </c>
      <c r="I25" s="65">
        <f>IF('Master Data'!AB2="No",'Master Data'!O34,0)</f>
        <v>106070</v>
      </c>
      <c r="J25" s="145" t="s">
        <v>49</v>
      </c>
      <c r="K25" s="292" t="s">
        <v>106</v>
      </c>
      <c r="L25" s="292"/>
      <c r="M25" s="292"/>
      <c r="N25" s="171" t="s">
        <v>11</v>
      </c>
      <c r="O25" s="65">
        <f>'Other Deduction'!E16</f>
        <v>0</v>
      </c>
      <c r="P25" s="296"/>
      <c r="Q25" s="297"/>
      <c r="R25" s="138"/>
    </row>
    <row r="26" spans="1:18" s="20" customFormat="1" ht="15" customHeight="1">
      <c r="A26" s="138"/>
      <c r="B26" s="282"/>
      <c r="C26" s="145" t="s">
        <v>50</v>
      </c>
      <c r="D26" s="250" t="s">
        <v>113</v>
      </c>
      <c r="E26" s="250"/>
      <c r="F26" s="250"/>
      <c r="G26" s="250"/>
      <c r="H26" s="171" t="s">
        <v>11</v>
      </c>
      <c r="I26" s="146">
        <f>IF(OR('Master Data'!V14=0,'Master Data'!V14=""),0,220)</f>
        <v>220</v>
      </c>
      <c r="J26" s="145" t="s">
        <v>51</v>
      </c>
      <c r="K26" s="267" t="s">
        <v>105</v>
      </c>
      <c r="L26" s="267"/>
      <c r="M26" s="267"/>
      <c r="N26" s="171" t="s">
        <v>11</v>
      </c>
      <c r="O26" s="65">
        <f>'Other Deduction'!B11</f>
        <v>0</v>
      </c>
      <c r="P26" s="296"/>
      <c r="Q26" s="297"/>
      <c r="R26" s="138"/>
    </row>
    <row r="27" spans="1:18" s="20" customFormat="1" ht="15" customHeight="1">
      <c r="A27" s="138"/>
      <c r="B27" s="282"/>
      <c r="C27" s="145" t="s">
        <v>52</v>
      </c>
      <c r="D27" s="250" t="s">
        <v>9</v>
      </c>
      <c r="E27" s="250"/>
      <c r="F27" s="250"/>
      <c r="G27" s="250"/>
      <c r="H27" s="171" t="s">
        <v>11</v>
      </c>
      <c r="I27" s="146">
        <f>'Other Deduction'!B13</f>
        <v>0</v>
      </c>
      <c r="J27" s="145" t="s">
        <v>53</v>
      </c>
      <c r="K27" s="267" t="s">
        <v>146</v>
      </c>
      <c r="L27" s="267"/>
      <c r="M27" s="267"/>
      <c r="N27" s="171" t="s">
        <v>11</v>
      </c>
      <c r="O27" s="65">
        <f>'Other Deduction'!E5</f>
        <v>0</v>
      </c>
      <c r="P27" s="296"/>
      <c r="Q27" s="297"/>
      <c r="R27" s="138"/>
    </row>
    <row r="28" spans="1:18" s="20" customFormat="1" ht="15" customHeight="1">
      <c r="A28" s="138"/>
      <c r="B28" s="282"/>
      <c r="C28" s="145" t="s">
        <v>54</v>
      </c>
      <c r="D28" s="250" t="s">
        <v>88</v>
      </c>
      <c r="E28" s="250"/>
      <c r="F28" s="250"/>
      <c r="G28" s="250"/>
      <c r="H28" s="171" t="s">
        <v>11</v>
      </c>
      <c r="I28" s="65">
        <f>'Master Data'!W34+'Other Deduction'!B8</f>
        <v>0</v>
      </c>
      <c r="J28" s="145" t="s">
        <v>152</v>
      </c>
      <c r="K28" s="267" t="s">
        <v>153</v>
      </c>
      <c r="L28" s="267"/>
      <c r="M28" s="267"/>
      <c r="N28" s="171" t="s">
        <v>11</v>
      </c>
      <c r="O28" s="65">
        <f>'Other Deduction'!B18</f>
        <v>0</v>
      </c>
      <c r="P28" s="296"/>
      <c r="Q28" s="297"/>
      <c r="R28" s="138"/>
    </row>
    <row r="29" spans="1:18" s="20" customFormat="1" ht="15" customHeight="1">
      <c r="A29" s="138"/>
      <c r="B29" s="282"/>
      <c r="C29" s="145" t="s">
        <v>217</v>
      </c>
      <c r="D29" s="344" t="s">
        <v>198</v>
      </c>
      <c r="E29" s="345"/>
      <c r="F29" s="345"/>
      <c r="G29" s="346"/>
      <c r="H29" s="171" t="s">
        <v>11</v>
      </c>
      <c r="I29" s="65">
        <f>IF('Master Data'!AB2="Yes",'Master Data'!Z34,0)</f>
        <v>0</v>
      </c>
      <c r="J29" s="145"/>
      <c r="K29" s="347"/>
      <c r="L29" s="348"/>
      <c r="M29" s="349"/>
      <c r="N29" s="171" t="s">
        <v>11</v>
      </c>
      <c r="O29" s="65"/>
      <c r="P29" s="296"/>
      <c r="Q29" s="297"/>
      <c r="R29" s="138"/>
    </row>
    <row r="30" spans="1:18" s="20" customFormat="1" ht="15" customHeight="1">
      <c r="A30" s="138"/>
      <c r="B30" s="282"/>
      <c r="C30" s="293" t="s">
        <v>154</v>
      </c>
      <c r="D30" s="294"/>
      <c r="E30" s="294"/>
      <c r="F30" s="294"/>
      <c r="G30" s="294"/>
      <c r="H30" s="294"/>
      <c r="I30" s="294"/>
      <c r="J30" s="294"/>
      <c r="K30" s="294"/>
      <c r="L30" s="294"/>
      <c r="M30" s="295"/>
      <c r="N30" s="171" t="s">
        <v>11</v>
      </c>
      <c r="O30" s="147">
        <f>SUM(I20:I29)+SUM(O20:O29)</f>
        <v>142290</v>
      </c>
      <c r="P30" s="286"/>
      <c r="Q30" s="287"/>
      <c r="R30" s="138"/>
    </row>
    <row r="31" spans="1:18" s="20" customFormat="1" ht="15" customHeight="1">
      <c r="A31" s="138"/>
      <c r="B31" s="282"/>
      <c r="C31" s="276" t="s">
        <v>102</v>
      </c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171" t="s">
        <v>11</v>
      </c>
      <c r="Q31" s="143">
        <f>IF(O30&lt;150001,ROUND(O30,0),150000)</f>
        <v>142290</v>
      </c>
      <c r="R31" s="138"/>
    </row>
    <row r="32" spans="1:18" s="20" customFormat="1" ht="15" customHeight="1">
      <c r="A32" s="138"/>
      <c r="B32" s="282"/>
      <c r="C32" s="298" t="s">
        <v>121</v>
      </c>
      <c r="D32" s="299"/>
      <c r="E32" s="299"/>
      <c r="F32" s="299"/>
      <c r="G32" s="299"/>
      <c r="H32" s="299"/>
      <c r="I32" s="299"/>
      <c r="J32" s="299"/>
      <c r="K32" s="299"/>
      <c r="L32" s="299"/>
      <c r="M32" s="299"/>
      <c r="N32" s="299"/>
      <c r="O32" s="300"/>
      <c r="P32" s="171"/>
      <c r="Q32" s="64">
        <f>IF('Master Data'!AB2="Yes",'Master Data'!O34,0)</f>
        <v>0</v>
      </c>
      <c r="R32" s="138"/>
    </row>
    <row r="33" spans="1:18" s="20" customFormat="1" ht="15" customHeight="1">
      <c r="A33" s="138"/>
      <c r="B33" s="282"/>
      <c r="C33" s="341" t="s">
        <v>120</v>
      </c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3"/>
      <c r="P33" s="171" t="s">
        <v>11</v>
      </c>
      <c r="Q33" s="144">
        <f>'Other Deduction'!E7</f>
        <v>0</v>
      </c>
      <c r="R33" s="138"/>
    </row>
    <row r="34" spans="1:18" s="20" customFormat="1" ht="15" customHeight="1">
      <c r="A34" s="138"/>
      <c r="B34" s="283"/>
      <c r="C34" s="276" t="s">
        <v>110</v>
      </c>
      <c r="D34" s="276"/>
      <c r="E34" s="276"/>
      <c r="F34" s="276"/>
      <c r="G34" s="276"/>
      <c r="H34" s="276"/>
      <c r="I34" s="276"/>
      <c r="J34" s="276"/>
      <c r="K34" s="276"/>
      <c r="L34" s="276"/>
      <c r="M34" s="276"/>
      <c r="N34" s="276"/>
      <c r="O34" s="276"/>
      <c r="P34" s="171" t="s">
        <v>11</v>
      </c>
      <c r="Q34" s="143">
        <f>SUM(Q31:Q33)</f>
        <v>142290</v>
      </c>
      <c r="R34" s="138"/>
    </row>
    <row r="35" spans="1:18" s="20" customFormat="1" ht="15" customHeight="1">
      <c r="A35" s="138"/>
      <c r="B35" s="281">
        <v>12</v>
      </c>
      <c r="C35" s="268" t="s">
        <v>119</v>
      </c>
      <c r="D35" s="268"/>
      <c r="E35" s="268"/>
      <c r="F35" s="268"/>
      <c r="G35" s="268"/>
      <c r="H35" s="268"/>
      <c r="I35" s="268"/>
      <c r="J35" s="268"/>
      <c r="K35" s="268"/>
      <c r="L35" s="268"/>
      <c r="M35" s="268"/>
      <c r="N35" s="268"/>
      <c r="O35" s="268"/>
      <c r="P35" s="268"/>
      <c r="Q35" s="288"/>
      <c r="R35" s="138"/>
    </row>
    <row r="36" spans="1:18" s="20" customFormat="1" ht="15" customHeight="1">
      <c r="A36" s="138"/>
      <c r="B36" s="282"/>
      <c r="C36" s="338" t="s">
        <v>173</v>
      </c>
      <c r="D36" s="339"/>
      <c r="E36" s="339"/>
      <c r="F36" s="339"/>
      <c r="G36" s="339"/>
      <c r="H36" s="339"/>
      <c r="I36" s="339"/>
      <c r="J36" s="339"/>
      <c r="K36" s="339"/>
      <c r="L36" s="339"/>
      <c r="M36" s="339"/>
      <c r="N36" s="339"/>
      <c r="O36" s="340"/>
      <c r="P36" s="171" t="s">
        <v>11</v>
      </c>
      <c r="Q36" s="144">
        <f>'Other Deduction'!E8</f>
        <v>0</v>
      </c>
      <c r="R36" s="138"/>
    </row>
    <row r="37" spans="1:18" s="20" customFormat="1" ht="15" customHeight="1">
      <c r="A37" s="138"/>
      <c r="B37" s="282"/>
      <c r="C37" s="250" t="s">
        <v>174</v>
      </c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171" t="s">
        <v>11</v>
      </c>
      <c r="Q37" s="144">
        <f>'Other Deduction'!E9</f>
        <v>0</v>
      </c>
      <c r="R37" s="138"/>
    </row>
    <row r="38" spans="1:18" s="20" customFormat="1" ht="15" customHeight="1">
      <c r="A38" s="138"/>
      <c r="B38" s="282"/>
      <c r="C38" s="250" t="s">
        <v>245</v>
      </c>
      <c r="D38" s="25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250"/>
      <c r="P38" s="171" t="s">
        <v>11</v>
      </c>
      <c r="Q38" s="144">
        <f>'Other Deduction'!E10</f>
        <v>0</v>
      </c>
      <c r="R38" s="138"/>
    </row>
    <row r="39" spans="1:18" s="20" customFormat="1" ht="15" customHeight="1">
      <c r="A39" s="138"/>
      <c r="B39" s="282"/>
      <c r="C39" s="250" t="s">
        <v>137</v>
      </c>
      <c r="D39" s="25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171" t="s">
        <v>11</v>
      </c>
      <c r="Q39" s="144">
        <f>'Other Deduction'!E11</f>
        <v>0</v>
      </c>
      <c r="R39" s="138"/>
    </row>
    <row r="40" spans="1:18" s="20" customFormat="1" ht="15" customHeight="1">
      <c r="A40" s="138"/>
      <c r="B40" s="282"/>
      <c r="C40" s="250" t="s">
        <v>138</v>
      </c>
      <c r="D40" s="25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171" t="s">
        <v>11</v>
      </c>
      <c r="Q40" s="144">
        <f>'Master Data'!AB34+'Other Deduction'!E12</f>
        <v>16381</v>
      </c>
      <c r="R40" s="138"/>
    </row>
    <row r="41" spans="1:18" s="20" customFormat="1" ht="15" customHeight="1">
      <c r="A41" s="138"/>
      <c r="B41" s="282"/>
      <c r="C41" s="338" t="s">
        <v>139</v>
      </c>
      <c r="D41" s="339"/>
      <c r="E41" s="339"/>
      <c r="F41" s="339"/>
      <c r="G41" s="339"/>
      <c r="H41" s="339"/>
      <c r="I41" s="339"/>
      <c r="J41" s="339"/>
      <c r="K41" s="339"/>
      <c r="L41" s="339"/>
      <c r="M41" s="339"/>
      <c r="N41" s="339"/>
      <c r="O41" s="340"/>
      <c r="P41" s="171" t="s">
        <v>11</v>
      </c>
      <c r="Q41" s="144">
        <f>'Other Deduction'!E13</f>
        <v>0</v>
      </c>
      <c r="R41" s="138"/>
    </row>
    <row r="42" spans="1:18" s="20" customFormat="1" ht="15" customHeight="1">
      <c r="A42" s="138"/>
      <c r="B42" s="282"/>
      <c r="C42" s="277" t="s">
        <v>176</v>
      </c>
      <c r="D42" s="278"/>
      <c r="E42" s="278"/>
      <c r="F42" s="278"/>
      <c r="G42" s="278"/>
      <c r="H42" s="278"/>
      <c r="I42" s="278"/>
      <c r="J42" s="278"/>
      <c r="K42" s="278"/>
      <c r="L42" s="278"/>
      <c r="M42" s="278"/>
      <c r="N42" s="278"/>
      <c r="O42" s="311"/>
      <c r="P42" s="171" t="s">
        <v>11</v>
      </c>
      <c r="Q42" s="144">
        <f>IF('Master Data'!P5="Yes",IF('Other Deduction'!E3&lt;50001,'Other Deduction'!E3,50000),IF('Other Deduction'!E3&lt;10001,'Other Deduction'!E3,10000))</f>
        <v>0</v>
      </c>
      <c r="R42" s="138"/>
    </row>
    <row r="43" spans="1:18" s="20" customFormat="1" ht="15" customHeight="1">
      <c r="A43" s="138"/>
      <c r="B43" s="282"/>
      <c r="C43" s="277" t="s">
        <v>108</v>
      </c>
      <c r="D43" s="278"/>
      <c r="E43" s="278"/>
      <c r="F43" s="278"/>
      <c r="G43" s="278"/>
      <c r="H43" s="278"/>
      <c r="I43" s="278"/>
      <c r="J43" s="278"/>
      <c r="K43" s="278"/>
      <c r="L43" s="278"/>
      <c r="M43" s="278"/>
      <c r="N43" s="278"/>
      <c r="O43" s="311"/>
      <c r="P43" s="171" t="s">
        <v>11</v>
      </c>
      <c r="Q43" s="144">
        <f>'Other Deduction'!E14</f>
        <v>0</v>
      </c>
      <c r="R43" s="138"/>
    </row>
    <row r="44" spans="1:18" s="20" customFormat="1" ht="15" customHeight="1">
      <c r="A44" s="138"/>
      <c r="B44" s="283"/>
      <c r="C44" s="276" t="s">
        <v>55</v>
      </c>
      <c r="D44" s="276"/>
      <c r="E44" s="276"/>
      <c r="F44" s="276"/>
      <c r="G44" s="276"/>
      <c r="H44" s="276"/>
      <c r="I44" s="276"/>
      <c r="J44" s="276"/>
      <c r="K44" s="276"/>
      <c r="L44" s="276"/>
      <c r="M44" s="276"/>
      <c r="N44" s="276"/>
      <c r="O44" s="276"/>
      <c r="P44" s="171" t="s">
        <v>11</v>
      </c>
      <c r="Q44" s="148">
        <f>SUM(Q36:Q43)</f>
        <v>16381</v>
      </c>
      <c r="R44" s="138"/>
    </row>
    <row r="45" spans="1:18" s="20" customFormat="1" ht="15" customHeight="1">
      <c r="A45" s="138"/>
      <c r="B45" s="142">
        <v>13</v>
      </c>
      <c r="C45" s="268" t="s">
        <v>115</v>
      </c>
      <c r="D45" s="268"/>
      <c r="E45" s="268"/>
      <c r="F45" s="268"/>
      <c r="G45" s="268"/>
      <c r="H45" s="268"/>
      <c r="I45" s="268"/>
      <c r="J45" s="268"/>
      <c r="K45" s="268"/>
      <c r="L45" s="268"/>
      <c r="M45" s="268"/>
      <c r="N45" s="268"/>
      <c r="O45" s="268"/>
      <c r="P45" s="171" t="s">
        <v>11</v>
      </c>
      <c r="Q45" s="144">
        <f>Q34+Q44</f>
        <v>158671</v>
      </c>
      <c r="R45" s="138"/>
    </row>
    <row r="46" spans="1:18" s="20" customFormat="1" ht="15" customHeight="1">
      <c r="A46" s="138"/>
      <c r="B46" s="142">
        <v>14</v>
      </c>
      <c r="C46" s="250" t="s">
        <v>66</v>
      </c>
      <c r="D46" s="25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171" t="s">
        <v>11</v>
      </c>
      <c r="Q46" s="144">
        <f>(Q17-Q45)</f>
        <v>1154426</v>
      </c>
      <c r="R46" s="138"/>
    </row>
    <row r="47" spans="1:18" s="20" customFormat="1">
      <c r="A47" s="138"/>
      <c r="B47" s="142">
        <v>15</v>
      </c>
      <c r="C47" s="268" t="s">
        <v>156</v>
      </c>
      <c r="D47" s="268"/>
      <c r="E47" s="268"/>
      <c r="F47" s="268"/>
      <c r="G47" s="268"/>
      <c r="H47" s="268"/>
      <c r="I47" s="268"/>
      <c r="J47" s="268"/>
      <c r="K47" s="268"/>
      <c r="L47" s="268"/>
      <c r="M47" s="268"/>
      <c r="N47" s="268"/>
      <c r="O47" s="268"/>
      <c r="P47" s="171" t="s">
        <v>11</v>
      </c>
      <c r="Q47" s="143">
        <f>ROUND(Q46,-1)</f>
        <v>1154430</v>
      </c>
      <c r="R47" s="138"/>
    </row>
    <row r="48" spans="1:18" s="20" customFormat="1" ht="15" customHeight="1">
      <c r="A48" s="138"/>
      <c r="B48" s="281">
        <v>16</v>
      </c>
      <c r="C48" s="250" t="s">
        <v>56</v>
      </c>
      <c r="D48" s="250"/>
      <c r="E48" s="250"/>
      <c r="F48" s="250"/>
      <c r="G48" s="250"/>
      <c r="H48" s="250"/>
      <c r="I48" s="250"/>
      <c r="J48" s="250"/>
      <c r="K48" s="250"/>
      <c r="L48" s="250"/>
      <c r="M48" s="250"/>
      <c r="N48" s="250"/>
      <c r="O48" s="250"/>
      <c r="P48" s="250"/>
      <c r="Q48" s="325"/>
      <c r="R48" s="138"/>
    </row>
    <row r="49" spans="1:18" s="20" customFormat="1" ht="15" customHeight="1">
      <c r="A49" s="138"/>
      <c r="B49" s="282"/>
      <c r="C49" s="326" t="s">
        <v>82</v>
      </c>
      <c r="D49" s="326"/>
      <c r="E49" s="326"/>
      <c r="F49" s="326"/>
      <c r="G49" s="326"/>
      <c r="H49" s="326" t="s">
        <v>97</v>
      </c>
      <c r="I49" s="326"/>
      <c r="J49" s="326"/>
      <c r="K49" s="326"/>
      <c r="L49" s="327" t="s">
        <v>114</v>
      </c>
      <c r="M49" s="328"/>
      <c r="N49" s="328"/>
      <c r="O49" s="329"/>
      <c r="P49" s="149"/>
      <c r="Q49" s="150"/>
      <c r="R49" s="138"/>
    </row>
    <row r="50" spans="1:18" s="20" customFormat="1" ht="15" customHeight="1">
      <c r="A50" s="138"/>
      <c r="B50" s="282"/>
      <c r="C50" s="303" t="s">
        <v>83</v>
      </c>
      <c r="D50" s="304"/>
      <c r="E50" s="305"/>
      <c r="F50" s="302" t="s">
        <v>57</v>
      </c>
      <c r="G50" s="302"/>
      <c r="H50" s="303" t="s">
        <v>98</v>
      </c>
      <c r="I50" s="304"/>
      <c r="J50" s="305"/>
      <c r="K50" s="170" t="s">
        <v>57</v>
      </c>
      <c r="L50" s="303"/>
      <c r="M50" s="304"/>
      <c r="N50" s="305"/>
      <c r="O50" s="170"/>
      <c r="P50" s="171" t="s">
        <v>11</v>
      </c>
      <c r="Q50" s="151">
        <v>0</v>
      </c>
      <c r="R50" s="138"/>
    </row>
    <row r="51" spans="1:18" s="20" customFormat="1" ht="15" customHeight="1">
      <c r="A51" s="138"/>
      <c r="B51" s="282"/>
      <c r="C51" s="303" t="s">
        <v>58</v>
      </c>
      <c r="D51" s="304"/>
      <c r="E51" s="305"/>
      <c r="F51" s="301">
        <v>0.05</v>
      </c>
      <c r="G51" s="302"/>
      <c r="H51" s="302" t="s">
        <v>99</v>
      </c>
      <c r="I51" s="302"/>
      <c r="J51" s="302"/>
      <c r="K51" s="169">
        <v>0.05</v>
      </c>
      <c r="L51" s="303" t="s">
        <v>84</v>
      </c>
      <c r="M51" s="304"/>
      <c r="N51" s="305"/>
      <c r="O51" s="170" t="s">
        <v>57</v>
      </c>
      <c r="P51" s="171" t="s">
        <v>11</v>
      </c>
      <c r="Q51" s="151">
        <f>ROUND(IF('Master Data'!P5="No",IF(Q47&lt;250001,0,IF(Q47&gt;500000,12500,((Q47-250000)*0.05))),IF(Q47&lt;300001,0,IF(Q47&gt;500000,10000,((Q47-300000)*0.05)))),0)</f>
        <v>12500</v>
      </c>
      <c r="R51" s="138"/>
    </row>
    <row r="52" spans="1:18" s="20" customFormat="1" ht="15" customHeight="1">
      <c r="A52" s="138"/>
      <c r="B52" s="282"/>
      <c r="C52" s="303" t="s">
        <v>59</v>
      </c>
      <c r="D52" s="304"/>
      <c r="E52" s="305"/>
      <c r="F52" s="301">
        <v>0.2</v>
      </c>
      <c r="G52" s="302"/>
      <c r="H52" s="302" t="s">
        <v>59</v>
      </c>
      <c r="I52" s="302"/>
      <c r="J52" s="302"/>
      <c r="K52" s="169">
        <v>0.2</v>
      </c>
      <c r="L52" s="303" t="s">
        <v>59</v>
      </c>
      <c r="M52" s="304"/>
      <c r="N52" s="305"/>
      <c r="O52" s="169">
        <v>0.2</v>
      </c>
      <c r="P52" s="171" t="s">
        <v>11</v>
      </c>
      <c r="Q52" s="151">
        <f>IF(Q47&lt;500001,0,IF(Q47&gt;1000000,100000,((Q47-500000)*0.2)))</f>
        <v>100000</v>
      </c>
      <c r="R52" s="138"/>
    </row>
    <row r="53" spans="1:18" s="20" customFormat="1" ht="15" customHeight="1">
      <c r="A53" s="138"/>
      <c r="B53" s="282"/>
      <c r="C53" s="330" t="s">
        <v>80</v>
      </c>
      <c r="D53" s="331"/>
      <c r="E53" s="332"/>
      <c r="F53" s="301">
        <v>0.3</v>
      </c>
      <c r="G53" s="302"/>
      <c r="H53" s="302" t="s">
        <v>81</v>
      </c>
      <c r="I53" s="302"/>
      <c r="J53" s="302"/>
      <c r="K53" s="169">
        <v>0.3</v>
      </c>
      <c r="L53" s="303" t="s">
        <v>81</v>
      </c>
      <c r="M53" s="304"/>
      <c r="N53" s="305"/>
      <c r="O53" s="169">
        <v>0.3</v>
      </c>
      <c r="P53" s="171" t="s">
        <v>11</v>
      </c>
      <c r="Q53" s="151">
        <f>IF(Q47&lt;1000001,0,((Q47-1000000)*0.3))</f>
        <v>46329</v>
      </c>
      <c r="R53" s="138"/>
    </row>
    <row r="54" spans="1:18" s="20" customFormat="1" ht="15" customHeight="1">
      <c r="A54" s="138"/>
      <c r="B54" s="282"/>
      <c r="C54" s="320" t="s">
        <v>67</v>
      </c>
      <c r="D54" s="321"/>
      <c r="E54" s="321"/>
      <c r="F54" s="321"/>
      <c r="G54" s="321"/>
      <c r="H54" s="321"/>
      <c r="I54" s="321"/>
      <c r="J54" s="321"/>
      <c r="K54" s="321"/>
      <c r="L54" s="321"/>
      <c r="M54" s="321"/>
      <c r="N54" s="321"/>
      <c r="O54" s="322"/>
      <c r="P54" s="171" t="s">
        <v>11</v>
      </c>
      <c r="Q54" s="143">
        <f>SUM(Q50:Q53)</f>
        <v>158829</v>
      </c>
      <c r="R54" s="138"/>
    </row>
    <row r="55" spans="1:18" s="20" customFormat="1" ht="15" customHeight="1">
      <c r="A55" s="138"/>
      <c r="B55" s="282"/>
      <c r="C55" s="333" t="s">
        <v>177</v>
      </c>
      <c r="D55" s="334"/>
      <c r="E55" s="334"/>
      <c r="F55" s="334"/>
      <c r="G55" s="334"/>
      <c r="H55" s="334"/>
      <c r="I55" s="334"/>
      <c r="J55" s="334"/>
      <c r="K55" s="334"/>
      <c r="L55" s="334"/>
      <c r="M55" s="334"/>
      <c r="N55" s="334"/>
      <c r="O55" s="335"/>
      <c r="P55" s="171" t="s">
        <v>11</v>
      </c>
      <c r="Q55" s="144">
        <f>IF(Q47&gt;500000,0,IF(Q54&lt;12501,Q54,12500))</f>
        <v>0</v>
      </c>
      <c r="R55" s="138"/>
    </row>
    <row r="56" spans="1:18" s="20" customFormat="1" ht="15" customHeight="1">
      <c r="A56" s="138"/>
      <c r="B56" s="282"/>
      <c r="C56" s="320" t="s">
        <v>100</v>
      </c>
      <c r="D56" s="321"/>
      <c r="E56" s="321"/>
      <c r="F56" s="321"/>
      <c r="G56" s="321"/>
      <c r="H56" s="321"/>
      <c r="I56" s="321"/>
      <c r="J56" s="321"/>
      <c r="K56" s="321"/>
      <c r="L56" s="321"/>
      <c r="M56" s="321"/>
      <c r="N56" s="321"/>
      <c r="O56" s="322"/>
      <c r="P56" s="171" t="s">
        <v>11</v>
      </c>
      <c r="Q56" s="143">
        <f>Q54-Q55</f>
        <v>158829</v>
      </c>
      <c r="R56" s="138"/>
    </row>
    <row r="57" spans="1:18" s="20" customFormat="1" ht="15" customHeight="1">
      <c r="A57" s="138"/>
      <c r="B57" s="282"/>
      <c r="C57" s="323" t="s">
        <v>170</v>
      </c>
      <c r="D57" s="323"/>
      <c r="E57" s="323"/>
      <c r="F57" s="323"/>
      <c r="G57" s="323"/>
      <c r="H57" s="323"/>
      <c r="I57" s="323"/>
      <c r="J57" s="323"/>
      <c r="K57" s="323"/>
      <c r="L57" s="323"/>
      <c r="M57" s="323"/>
      <c r="N57" s="323"/>
      <c r="O57" s="323"/>
      <c r="P57" s="171" t="s">
        <v>11</v>
      </c>
      <c r="Q57" s="144">
        <f>ROUND(Q56*0.04,0)</f>
        <v>6353</v>
      </c>
      <c r="R57" s="138"/>
    </row>
    <row r="58" spans="1:18" s="20" customFormat="1" ht="15" customHeight="1">
      <c r="A58" s="138"/>
      <c r="B58" s="283"/>
      <c r="C58" s="324" t="s">
        <v>101</v>
      </c>
      <c r="D58" s="324"/>
      <c r="E58" s="324"/>
      <c r="F58" s="324"/>
      <c r="G58" s="324"/>
      <c r="H58" s="324"/>
      <c r="I58" s="324"/>
      <c r="J58" s="324"/>
      <c r="K58" s="324"/>
      <c r="L58" s="324"/>
      <c r="M58" s="324"/>
      <c r="N58" s="324"/>
      <c r="O58" s="324"/>
      <c r="P58" s="171" t="s">
        <v>11</v>
      </c>
      <c r="Q58" s="143">
        <f>SUM(Q56:Q57)</f>
        <v>165182</v>
      </c>
      <c r="R58" s="138"/>
    </row>
    <row r="59" spans="1:18" s="20" customFormat="1" ht="15" customHeight="1">
      <c r="A59" s="138"/>
      <c r="B59" s="142">
        <v>17</v>
      </c>
      <c r="C59" s="277" t="s">
        <v>68</v>
      </c>
      <c r="D59" s="278"/>
      <c r="E59" s="278"/>
      <c r="F59" s="278"/>
      <c r="G59" s="278"/>
      <c r="H59" s="278"/>
      <c r="I59" s="278"/>
      <c r="J59" s="278"/>
      <c r="K59" s="278"/>
      <c r="L59" s="278"/>
      <c r="M59" s="278"/>
      <c r="N59" s="278"/>
      <c r="O59" s="311"/>
      <c r="P59" s="171" t="s">
        <v>11</v>
      </c>
      <c r="Q59" s="144">
        <f>'Other Deduction'!E17</f>
        <v>0</v>
      </c>
      <c r="R59" s="138"/>
    </row>
    <row r="60" spans="1:18" s="20" customFormat="1" ht="15" customHeight="1">
      <c r="A60" s="138"/>
      <c r="B60" s="142">
        <v>18</v>
      </c>
      <c r="C60" s="268" t="s">
        <v>85</v>
      </c>
      <c r="D60" s="268"/>
      <c r="E60" s="268"/>
      <c r="F60" s="268"/>
      <c r="G60" s="268"/>
      <c r="H60" s="268"/>
      <c r="I60" s="268"/>
      <c r="J60" s="268"/>
      <c r="K60" s="268"/>
      <c r="L60" s="268"/>
      <c r="M60" s="268"/>
      <c r="N60" s="268"/>
      <c r="O60" s="268"/>
      <c r="P60" s="171" t="s">
        <v>11</v>
      </c>
      <c r="Q60" s="143">
        <f>Q58-Q59</f>
        <v>165182</v>
      </c>
      <c r="R60" s="138"/>
    </row>
    <row r="61" spans="1:18" ht="33.75" customHeight="1">
      <c r="A61" s="152"/>
      <c r="B61" s="281">
        <v>19</v>
      </c>
      <c r="C61" s="315" t="s">
        <v>60</v>
      </c>
      <c r="D61" s="315"/>
      <c r="E61" s="316"/>
      <c r="F61" s="312" t="s">
        <v>237</v>
      </c>
      <c r="G61" s="312"/>
      <c r="H61" s="312"/>
      <c r="I61" s="312"/>
      <c r="J61" s="313" t="s">
        <v>238</v>
      </c>
      <c r="K61" s="314"/>
      <c r="L61" s="172" t="s">
        <v>239</v>
      </c>
      <c r="M61" s="313" t="s">
        <v>240</v>
      </c>
      <c r="N61" s="314"/>
      <c r="O61" s="172" t="s">
        <v>89</v>
      </c>
      <c r="P61" s="313" t="s">
        <v>155</v>
      </c>
      <c r="Q61" s="337"/>
      <c r="R61" s="152"/>
    </row>
    <row r="62" spans="1:18">
      <c r="A62" s="152"/>
      <c r="B62" s="283"/>
      <c r="C62" s="317"/>
      <c r="D62" s="317"/>
      <c r="E62" s="318"/>
      <c r="F62" s="306">
        <f>SUM('Master Data'!Y13:Y19)</f>
        <v>0</v>
      </c>
      <c r="G62" s="306"/>
      <c r="H62" s="306"/>
      <c r="I62" s="306"/>
      <c r="J62" s="306">
        <f>SUM('Master Data'!Y20:Y22)</f>
        <v>0</v>
      </c>
      <c r="K62" s="306"/>
      <c r="L62" s="153">
        <f>'Master Data'!Y23</f>
        <v>0</v>
      </c>
      <c r="M62" s="306">
        <f>'Master Data'!Y24</f>
        <v>0</v>
      </c>
      <c r="N62" s="306"/>
      <c r="O62" s="154">
        <f>SUM('Master Data'!Y25:Y33)+'Other Deduction'!E18</f>
        <v>0</v>
      </c>
      <c r="P62" s="307">
        <f>F62+J62+L62+M62+O62</f>
        <v>0</v>
      </c>
      <c r="Q62" s="308"/>
      <c r="R62" s="152"/>
    </row>
    <row r="63" spans="1:18" ht="16" thickBot="1">
      <c r="A63" s="152"/>
      <c r="B63" s="309" t="str">
        <f>IF(Q60&gt;P62,"Income Tax Payable",IF(Q60&lt;P62,"Income Tax Refundable","Income Tax Payble/Refundable"))</f>
        <v>Income Tax Payable</v>
      </c>
      <c r="C63" s="310"/>
      <c r="D63" s="310"/>
      <c r="E63" s="310"/>
      <c r="F63" s="310"/>
      <c r="G63" s="310"/>
      <c r="H63" s="310"/>
      <c r="I63" s="310"/>
      <c r="J63" s="310"/>
      <c r="K63" s="310"/>
      <c r="L63" s="310"/>
      <c r="M63" s="310"/>
      <c r="N63" s="310"/>
      <c r="O63" s="310"/>
      <c r="P63" s="155" t="s">
        <v>11</v>
      </c>
      <c r="Q63" s="156">
        <f>IF(Q60&gt;P62,Q60-P62,P62-Q60)</f>
        <v>165182</v>
      </c>
      <c r="R63" s="152"/>
    </row>
    <row r="64" spans="1:18">
      <c r="A64" s="152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8"/>
      <c r="Q64" s="159"/>
      <c r="R64" s="152"/>
    </row>
    <row r="65" spans="1:18" ht="16.5">
      <c r="A65" s="152"/>
      <c r="B65" s="160"/>
      <c r="C65" s="161"/>
      <c r="D65" s="161"/>
      <c r="E65" s="162" t="s">
        <v>116</v>
      </c>
      <c r="F65" s="161"/>
      <c r="G65" s="161"/>
      <c r="H65" s="161"/>
      <c r="I65" s="161"/>
      <c r="J65" s="161"/>
      <c r="K65" s="161"/>
      <c r="L65" s="161"/>
      <c r="M65" s="161"/>
      <c r="N65" s="161"/>
      <c r="O65" s="161"/>
      <c r="P65" s="163"/>
      <c r="Q65" s="164"/>
      <c r="R65" s="152"/>
    </row>
    <row r="66" spans="1:18">
      <c r="A66" s="152"/>
      <c r="B66" s="160"/>
      <c r="C66" s="161"/>
      <c r="D66" s="161"/>
      <c r="E66" s="165"/>
      <c r="F66" s="161"/>
      <c r="G66" s="161"/>
      <c r="H66" s="161"/>
      <c r="I66" s="161"/>
      <c r="J66" s="161"/>
      <c r="K66" s="161"/>
      <c r="L66" s="161"/>
      <c r="M66" s="161"/>
      <c r="N66" s="161"/>
      <c r="O66" s="161"/>
      <c r="P66" s="163"/>
      <c r="Q66" s="164"/>
      <c r="R66" s="152"/>
    </row>
    <row r="67" spans="1:18" s="57" customFormat="1" ht="15.75" customHeight="1">
      <c r="A67" s="166"/>
      <c r="B67" s="167"/>
      <c r="C67" s="336"/>
      <c r="D67" s="336"/>
      <c r="E67" s="336"/>
      <c r="F67" s="336"/>
      <c r="G67" s="336"/>
      <c r="H67" s="336"/>
      <c r="I67" s="336"/>
      <c r="J67" s="336"/>
      <c r="K67" s="336"/>
      <c r="L67" s="336"/>
      <c r="M67" s="336"/>
      <c r="N67" s="336"/>
      <c r="O67" s="336"/>
      <c r="P67" s="336"/>
      <c r="Q67" s="336"/>
      <c r="R67" s="166"/>
    </row>
    <row r="68" spans="1:18" s="57" customFormat="1" ht="15.75" hidden="1" customHeight="1">
      <c r="A68" s="166"/>
      <c r="B68" s="168"/>
      <c r="C68" s="336"/>
      <c r="D68" s="336"/>
      <c r="E68" s="336"/>
      <c r="F68" s="336"/>
      <c r="G68" s="336"/>
      <c r="H68" s="336"/>
      <c r="I68" s="336"/>
      <c r="J68" s="336"/>
      <c r="K68" s="336"/>
      <c r="L68" s="336"/>
      <c r="M68" s="336"/>
      <c r="N68" s="336"/>
      <c r="O68" s="336"/>
      <c r="P68" s="336"/>
      <c r="Q68" s="336"/>
      <c r="R68" s="166"/>
    </row>
    <row r="69" spans="1:18" s="57" customFormat="1" ht="24" hidden="1" customHeight="1">
      <c r="A69" s="166"/>
      <c r="B69" s="167"/>
      <c r="C69" s="336"/>
      <c r="D69" s="336"/>
      <c r="E69" s="336"/>
      <c r="F69" s="336"/>
      <c r="G69" s="336"/>
      <c r="H69" s="336"/>
      <c r="I69" s="336"/>
      <c r="J69" s="336"/>
      <c r="K69" s="336"/>
      <c r="L69" s="336"/>
      <c r="M69" s="336"/>
      <c r="N69" s="336"/>
      <c r="O69" s="336"/>
      <c r="P69" s="336"/>
      <c r="Q69" s="336"/>
      <c r="R69" s="166"/>
    </row>
    <row r="70" spans="1:18" s="57" customFormat="1" ht="15.75" hidden="1" customHeight="1">
      <c r="B70" s="58"/>
      <c r="C70" s="60"/>
      <c r="D70" s="60"/>
      <c r="E70" s="60"/>
      <c r="F70" s="60"/>
      <c r="G70" s="60"/>
      <c r="H70" s="60"/>
      <c r="I70" s="60"/>
      <c r="J70" s="60"/>
      <c r="K70" s="60"/>
      <c r="L70" s="319"/>
      <c r="M70" s="319"/>
      <c r="N70" s="319"/>
      <c r="O70" s="319"/>
      <c r="P70" s="319"/>
      <c r="Q70" s="319"/>
    </row>
    <row r="71" spans="1:18" s="57" customFormat="1" ht="15.75" hidden="1" customHeight="1">
      <c r="B71" s="58"/>
      <c r="C71" s="60"/>
      <c r="D71" s="60"/>
      <c r="E71" s="60"/>
      <c r="F71" s="60"/>
      <c r="G71" s="60"/>
      <c r="H71" s="60"/>
      <c r="I71" s="60"/>
      <c r="J71" s="60"/>
      <c r="K71" s="60"/>
      <c r="L71" s="319"/>
      <c r="M71" s="319"/>
      <c r="N71" s="319"/>
      <c r="O71" s="319"/>
      <c r="P71" s="319"/>
      <c r="Q71" s="319"/>
    </row>
    <row r="72" spans="1:18" s="57" customFormat="1" ht="15.75" hidden="1" customHeight="1">
      <c r="B72" s="58"/>
      <c r="C72" s="60"/>
      <c r="D72" s="60"/>
      <c r="E72" s="60"/>
      <c r="F72" s="60"/>
      <c r="G72" s="60"/>
      <c r="H72" s="60"/>
      <c r="I72" s="60"/>
      <c r="J72" s="60"/>
      <c r="K72" s="60"/>
      <c r="L72" s="319"/>
      <c r="M72" s="319"/>
      <c r="N72" s="319"/>
      <c r="O72" s="319"/>
      <c r="P72" s="319"/>
      <c r="Q72" s="319"/>
    </row>
    <row r="73" spans="1:18" s="57" customFormat="1" ht="15.75" hidden="1" customHeight="1">
      <c r="B73" s="58"/>
      <c r="C73" s="60"/>
      <c r="D73" s="60"/>
      <c r="E73" s="60"/>
      <c r="F73" s="60"/>
      <c r="G73" s="60"/>
      <c r="H73" s="60"/>
      <c r="I73" s="60"/>
      <c r="J73" s="60"/>
      <c r="K73" s="60"/>
      <c r="L73" s="319"/>
      <c r="M73" s="319"/>
      <c r="N73" s="319"/>
      <c r="O73" s="319"/>
      <c r="P73" s="319"/>
      <c r="Q73" s="319"/>
    </row>
    <row r="74" spans="1:18" s="57" customFormat="1" ht="15.75" hidden="1" customHeight="1">
      <c r="B74" s="58"/>
      <c r="C74" s="60"/>
      <c r="D74" s="60"/>
      <c r="E74" s="60"/>
      <c r="F74" s="60"/>
      <c r="G74" s="60"/>
      <c r="H74" s="60"/>
      <c r="I74" s="60"/>
      <c r="J74" s="60"/>
      <c r="K74" s="60"/>
      <c r="L74" s="319"/>
      <c r="M74" s="319"/>
      <c r="N74" s="319"/>
      <c r="O74" s="319"/>
      <c r="P74" s="319"/>
      <c r="Q74" s="319"/>
    </row>
    <row r="75" spans="1:18" s="57" customFormat="1" hidden="1">
      <c r="B75" s="59"/>
      <c r="C75" s="61"/>
      <c r="D75" s="262"/>
      <c r="E75" s="262"/>
      <c r="F75" s="262"/>
      <c r="G75" s="262"/>
      <c r="H75" s="262"/>
      <c r="I75" s="262"/>
      <c r="J75" s="262"/>
      <c r="K75" s="61"/>
      <c r="L75" s="319"/>
      <c r="M75" s="319"/>
      <c r="N75" s="319"/>
      <c r="O75" s="319"/>
      <c r="P75" s="319"/>
      <c r="Q75" s="319"/>
    </row>
    <row r="76" spans="1:18" s="57" customFormat="1" hidden="1">
      <c r="B76" s="59"/>
      <c r="C76" s="61"/>
      <c r="D76" s="61"/>
      <c r="E76" s="61"/>
      <c r="F76" s="61"/>
      <c r="G76" s="61"/>
      <c r="H76" s="61"/>
      <c r="I76" s="61"/>
      <c r="J76" s="61"/>
      <c r="K76" s="61"/>
      <c r="L76" s="319"/>
      <c r="M76" s="319"/>
      <c r="N76" s="319"/>
      <c r="O76" s="319"/>
      <c r="P76" s="319"/>
      <c r="Q76" s="319"/>
    </row>
    <row r="77" spans="1:18" hidden="1">
      <c r="A77" s="51"/>
      <c r="B77" s="52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4"/>
      <c r="Q77" s="55"/>
      <c r="R77" s="51"/>
    </row>
    <row r="78" spans="1:18" hidden="1">
      <c r="A78" s="51"/>
      <c r="B78" s="52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4"/>
      <c r="Q78" s="55"/>
      <c r="R78" s="51"/>
    </row>
    <row r="79" spans="1:18" hidden="1">
      <c r="A79" s="51"/>
      <c r="B79" s="52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4"/>
      <c r="Q79" s="55"/>
      <c r="R79" s="51"/>
    </row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D29:G29"/>
    <mergeCell ref="K29:M29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</mergeCells>
  <printOptions horizontalCentered="1"/>
  <pageMargins left="0.39370078740157499" right="0.23622047244094499" top="0.23622047244094499" bottom="0.17" header="0.196850393700787" footer="0.17"/>
  <pageSetup paperSize="9" scale="83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A50021"/>
  </sheetPr>
  <dimension ref="A1:R83"/>
  <sheetViews>
    <sheetView topLeftCell="B16" zoomScale="80" zoomScaleNormal="80" workbookViewId="0">
      <selection activeCell="C44" sqref="C44:O44"/>
    </sheetView>
  </sheetViews>
  <sheetFormatPr defaultColWidth="0" defaultRowHeight="15.65" customHeight="1" zeroHeight="1"/>
  <cols>
    <col min="1" max="1" width="0.54296875" hidden="1" customWidth="1" collapsed="1"/>
    <col min="2" max="2" width="4.6328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4" style="14" customWidth="1" collapsed="1"/>
    <col min="9" max="9" width="11.54296875" style="14" customWidth="1" collapsed="1"/>
    <col min="10" max="10" width="6.81640625" style="14" customWidth="1" collapsed="1"/>
    <col min="11" max="11" width="10.1796875" style="14" customWidth="1" collapsed="1"/>
    <col min="12" max="12" width="13.453125" style="14" customWidth="1" collapsed="1"/>
    <col min="13" max="13" width="9.453125" style="14" customWidth="1" collapsed="1"/>
    <col min="14" max="14" width="5.1796875" style="14" customWidth="1" collapsed="1"/>
    <col min="15" max="15" width="13.453125" style="14" customWidth="1" collapsed="1"/>
    <col min="16" max="16" width="5" style="16" customWidth="1" collapsed="1"/>
    <col min="17" max="17" width="31.90625" style="17" customWidth="1" collapsed="1"/>
    <col min="18" max="18" width="3.36328125" customWidth="1" collapsed="1"/>
    <col min="19" max="16384" width="9.1796875" hidden="1" collapsed="1"/>
  </cols>
  <sheetData>
    <row r="1" spans="2:17" s="20" customFormat="1" ht="18.5">
      <c r="B1" s="416" t="str">
        <f>'Master Data'!C8</f>
        <v>GOVT SR. SEC SCHOOL DILOD HATHI, ATRU BARAN</v>
      </c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</row>
    <row r="2" spans="2:17" s="20" customFormat="1" ht="21" thickBot="1">
      <c r="B2" s="417" t="s">
        <v>196</v>
      </c>
      <c r="C2" s="417"/>
      <c r="D2" s="417"/>
      <c r="E2" s="417"/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417"/>
      <c r="Q2" s="417"/>
    </row>
    <row r="3" spans="2:17" s="20" customFormat="1" ht="15.5">
      <c r="B3" s="36">
        <v>1</v>
      </c>
      <c r="C3" s="418" t="s">
        <v>10</v>
      </c>
      <c r="D3" s="419"/>
      <c r="E3" s="420" t="str">
        <f>'Master Data'!D10</f>
        <v>PARMANAND MEGHWAL</v>
      </c>
      <c r="F3" s="420"/>
      <c r="G3" s="420"/>
      <c r="H3" s="420"/>
      <c r="I3" s="420"/>
      <c r="J3" s="420"/>
      <c r="K3" s="37" t="s">
        <v>29</v>
      </c>
      <c r="L3" s="421" t="str">
        <f>'Master Data'!O10</f>
        <v>SENIOR TEACHER</v>
      </c>
      <c r="M3" s="421"/>
      <c r="N3" s="421"/>
      <c r="O3" s="38" t="s">
        <v>28</v>
      </c>
      <c r="P3" s="422" t="str">
        <f>IF('Master Data'!V10="","",'Master Data'!V10)</f>
        <v>XXXXXXXXX</v>
      </c>
      <c r="Q3" s="423"/>
    </row>
    <row r="4" spans="2:17" s="20" customFormat="1" ht="15.5">
      <c r="B4" s="28">
        <v>2</v>
      </c>
      <c r="C4" s="444" t="s">
        <v>253</v>
      </c>
      <c r="D4" s="444"/>
      <c r="E4" s="380"/>
      <c r="F4" s="380"/>
      <c r="G4" s="380"/>
      <c r="H4" s="380"/>
      <c r="I4" s="380"/>
      <c r="J4" s="380"/>
      <c r="K4" s="444"/>
      <c r="L4" s="380"/>
      <c r="M4" s="380"/>
      <c r="N4" s="380"/>
      <c r="O4" s="444"/>
      <c r="P4" s="86" t="s">
        <v>11</v>
      </c>
      <c r="Q4" s="29">
        <f>IF('Master Data'!AB2="No",'Master Data'!N34,('Master Data'!N34+'Master Data'!O34))</f>
        <v>1363097</v>
      </c>
    </row>
    <row r="5" spans="2:17" s="20" customFormat="1" ht="15.5">
      <c r="B5" s="28">
        <v>3</v>
      </c>
      <c r="C5" s="380" t="s">
        <v>117</v>
      </c>
      <c r="D5" s="380"/>
      <c r="E5" s="380"/>
      <c r="F5" s="380"/>
      <c r="G5" s="380"/>
      <c r="H5" s="380"/>
      <c r="I5" s="380"/>
      <c r="J5" s="380"/>
      <c r="K5" s="380"/>
      <c r="L5" s="380"/>
      <c r="M5" s="380"/>
      <c r="N5" s="380"/>
      <c r="O5" s="380"/>
      <c r="P5" s="86" t="s">
        <v>11</v>
      </c>
      <c r="Q5" s="30">
        <v>0</v>
      </c>
    </row>
    <row r="6" spans="2:17" s="20" customFormat="1" ht="15.5">
      <c r="B6" s="28">
        <v>4</v>
      </c>
      <c r="C6" s="401" t="s">
        <v>30</v>
      </c>
      <c r="D6" s="401"/>
      <c r="E6" s="401"/>
      <c r="F6" s="401"/>
      <c r="G6" s="401"/>
      <c r="H6" s="401"/>
      <c r="I6" s="401"/>
      <c r="J6" s="401"/>
      <c r="K6" s="401"/>
      <c r="L6" s="401"/>
      <c r="M6" s="401"/>
      <c r="N6" s="401"/>
      <c r="O6" s="401"/>
      <c r="P6" s="86" t="s">
        <v>11</v>
      </c>
      <c r="Q6" s="30">
        <f>Q4-Q5</f>
        <v>1363097</v>
      </c>
    </row>
    <row r="7" spans="2:17" s="20" customFormat="1" ht="15.5">
      <c r="B7" s="360">
        <v>5</v>
      </c>
      <c r="C7" s="376" t="s">
        <v>72</v>
      </c>
      <c r="D7" s="377"/>
      <c r="E7" s="377"/>
      <c r="F7" s="377"/>
      <c r="G7" s="377"/>
      <c r="H7" s="377"/>
      <c r="I7" s="377"/>
      <c r="J7" s="377"/>
      <c r="K7" s="377"/>
      <c r="L7" s="377"/>
      <c r="M7" s="439">
        <f>'Other Deduction'!B4</f>
        <v>0</v>
      </c>
      <c r="N7" s="439"/>
      <c r="O7" s="439"/>
      <c r="P7" s="435"/>
      <c r="Q7" s="436"/>
    </row>
    <row r="8" spans="2:17" s="20" customFormat="1" ht="15.5">
      <c r="B8" s="379"/>
      <c r="C8" s="376" t="s">
        <v>73</v>
      </c>
      <c r="D8" s="377"/>
      <c r="E8" s="377"/>
      <c r="F8" s="377"/>
      <c r="G8" s="377"/>
      <c r="H8" s="377"/>
      <c r="I8" s="377"/>
      <c r="J8" s="377"/>
      <c r="K8" s="377"/>
      <c r="L8" s="377"/>
      <c r="M8" s="439">
        <f>'Other Deduction'!B5</f>
        <v>0</v>
      </c>
      <c r="N8" s="439"/>
      <c r="O8" s="439"/>
      <c r="P8" s="437"/>
      <c r="Q8" s="438"/>
    </row>
    <row r="9" spans="2:17" s="20" customFormat="1" ht="15.5">
      <c r="B9" s="361"/>
      <c r="C9" s="376" t="s">
        <v>182</v>
      </c>
      <c r="D9" s="377"/>
      <c r="E9" s="377"/>
      <c r="F9" s="377"/>
      <c r="G9" s="377"/>
      <c r="H9" s="377"/>
      <c r="I9" s="377"/>
      <c r="J9" s="377"/>
      <c r="K9" s="377"/>
      <c r="L9" s="377"/>
      <c r="M9" s="439">
        <v>0</v>
      </c>
      <c r="N9" s="439"/>
      <c r="O9" s="439"/>
      <c r="P9" s="86" t="s">
        <v>11</v>
      </c>
      <c r="Q9" s="30">
        <v>0</v>
      </c>
    </row>
    <row r="10" spans="2:17" s="20" customFormat="1" ht="15.5">
      <c r="B10" s="28">
        <v>6</v>
      </c>
      <c r="C10" s="434" t="s">
        <v>12</v>
      </c>
      <c r="D10" s="434"/>
      <c r="E10" s="434"/>
      <c r="F10" s="434"/>
      <c r="G10" s="434"/>
      <c r="H10" s="434"/>
      <c r="I10" s="434"/>
      <c r="J10" s="434"/>
      <c r="K10" s="434"/>
      <c r="L10" s="434"/>
      <c r="M10" s="434"/>
      <c r="N10" s="434"/>
      <c r="O10" s="434"/>
      <c r="P10" s="86" t="s">
        <v>11</v>
      </c>
      <c r="Q10" s="30">
        <f>Q6-Q9</f>
        <v>1363097</v>
      </c>
    </row>
    <row r="11" spans="2:17" s="20" customFormat="1" ht="15.5">
      <c r="B11" s="443">
        <v>7</v>
      </c>
      <c r="C11" s="380" t="s">
        <v>31</v>
      </c>
      <c r="D11" s="380"/>
      <c r="E11" s="380"/>
      <c r="F11" s="380"/>
      <c r="G11" s="380"/>
      <c r="H11" s="380"/>
      <c r="I11" s="380"/>
      <c r="J11" s="380"/>
      <c r="K11" s="434" t="s">
        <v>32</v>
      </c>
      <c r="L11" s="434"/>
      <c r="M11" s="439">
        <f>'Other Deduction'!B6</f>
        <v>0</v>
      </c>
      <c r="N11" s="439"/>
      <c r="O11" s="439"/>
      <c r="P11" s="424"/>
      <c r="Q11" s="425"/>
    </row>
    <row r="12" spans="2:17" s="20" customFormat="1" ht="15.5">
      <c r="B12" s="443"/>
      <c r="C12" s="426" t="s">
        <v>33</v>
      </c>
      <c r="D12" s="427"/>
      <c r="E12" s="430" t="s">
        <v>87</v>
      </c>
      <c r="F12" s="431"/>
      <c r="G12" s="432"/>
      <c r="H12" s="433" t="s">
        <v>13</v>
      </c>
      <c r="I12" s="433"/>
      <c r="J12" s="433"/>
      <c r="K12" s="434" t="s">
        <v>34</v>
      </c>
      <c r="L12" s="434"/>
      <c r="M12" s="434" t="s">
        <v>64</v>
      </c>
      <c r="N12" s="434"/>
      <c r="O12" s="434"/>
      <c r="P12" s="424"/>
      <c r="Q12" s="425"/>
    </row>
    <row r="13" spans="2:17" s="20" customFormat="1" ht="15.5">
      <c r="B13" s="443"/>
      <c r="C13" s="428"/>
      <c r="D13" s="429"/>
      <c r="E13" s="440">
        <f>ROUND(M11*0.3,0)</f>
        <v>0</v>
      </c>
      <c r="F13" s="441"/>
      <c r="G13" s="442"/>
      <c r="H13" s="439">
        <v>0</v>
      </c>
      <c r="I13" s="439"/>
      <c r="J13" s="439"/>
      <c r="K13" s="439">
        <f>'Other Deduction'!B7</f>
        <v>0</v>
      </c>
      <c r="L13" s="439"/>
      <c r="M13" s="439">
        <f>E13+H13+K13</f>
        <v>0</v>
      </c>
      <c r="N13" s="439"/>
      <c r="O13" s="439"/>
      <c r="P13" s="424"/>
      <c r="Q13" s="425"/>
    </row>
    <row r="14" spans="2:17" s="20" customFormat="1" ht="15.5">
      <c r="B14" s="28"/>
      <c r="C14" s="434" t="s">
        <v>35</v>
      </c>
      <c r="D14" s="434"/>
      <c r="E14" s="434"/>
      <c r="F14" s="434"/>
      <c r="G14" s="434"/>
      <c r="H14" s="434"/>
      <c r="I14" s="434"/>
      <c r="J14" s="434"/>
      <c r="K14" s="434"/>
      <c r="L14" s="434"/>
      <c r="M14" s="434"/>
      <c r="N14" s="434"/>
      <c r="O14" s="434"/>
      <c r="P14" s="86" t="s">
        <v>11</v>
      </c>
      <c r="Q14" s="30">
        <f>E13</f>
        <v>0</v>
      </c>
    </row>
    <row r="15" spans="2:17" s="20" customFormat="1" ht="15.5">
      <c r="B15" s="28">
        <v>8</v>
      </c>
      <c r="C15" s="434" t="s">
        <v>65</v>
      </c>
      <c r="D15" s="434"/>
      <c r="E15" s="434"/>
      <c r="F15" s="434"/>
      <c r="G15" s="434"/>
      <c r="H15" s="434"/>
      <c r="I15" s="434"/>
      <c r="J15" s="434"/>
      <c r="K15" s="434"/>
      <c r="L15" s="434"/>
      <c r="M15" s="434"/>
      <c r="N15" s="434"/>
      <c r="O15" s="434"/>
      <c r="P15" s="86" t="s">
        <v>11</v>
      </c>
      <c r="Q15" s="30">
        <f>Q10+Q14</f>
        <v>1363097</v>
      </c>
    </row>
    <row r="16" spans="2:17" s="20" customFormat="1" ht="15.5">
      <c r="B16" s="28">
        <v>9</v>
      </c>
      <c r="C16" s="380" t="s">
        <v>27</v>
      </c>
      <c r="D16" s="380"/>
      <c r="E16" s="380"/>
      <c r="F16" s="380"/>
      <c r="G16" s="380"/>
      <c r="H16" s="380"/>
      <c r="I16" s="380"/>
      <c r="J16" s="380"/>
      <c r="K16" s="380"/>
      <c r="L16" s="380"/>
      <c r="M16" s="380"/>
      <c r="N16" s="380"/>
      <c r="O16" s="380"/>
      <c r="P16" s="86" t="s">
        <v>11</v>
      </c>
      <c r="Q16" s="30">
        <f>'Other Deduction'!E3+'Other Deduction'!E4</f>
        <v>0</v>
      </c>
    </row>
    <row r="17" spans="2:17" s="20" customFormat="1" ht="15.5">
      <c r="B17" s="28">
        <v>10</v>
      </c>
      <c r="C17" s="380" t="s">
        <v>36</v>
      </c>
      <c r="D17" s="380"/>
      <c r="E17" s="380"/>
      <c r="F17" s="380"/>
      <c r="G17" s="380"/>
      <c r="H17" s="380"/>
      <c r="I17" s="380"/>
      <c r="J17" s="380"/>
      <c r="K17" s="380"/>
      <c r="L17" s="380"/>
      <c r="M17" s="380"/>
      <c r="N17" s="380"/>
      <c r="O17" s="380"/>
      <c r="P17" s="86" t="s">
        <v>11</v>
      </c>
      <c r="Q17" s="29">
        <f>Q15+Q16</f>
        <v>1363097</v>
      </c>
    </row>
    <row r="18" spans="2:17" s="20" customFormat="1" ht="15.5">
      <c r="B18" s="360">
        <v>11</v>
      </c>
      <c r="C18" s="359" t="s">
        <v>118</v>
      </c>
      <c r="D18" s="359"/>
      <c r="E18" s="359"/>
      <c r="F18" s="359"/>
      <c r="G18" s="359"/>
      <c r="H18" s="359"/>
      <c r="I18" s="359"/>
      <c r="J18" s="359"/>
      <c r="K18" s="359"/>
      <c r="L18" s="359"/>
      <c r="M18" s="359"/>
      <c r="N18" s="359"/>
      <c r="O18" s="359"/>
      <c r="P18" s="359"/>
      <c r="Q18" s="397"/>
    </row>
    <row r="19" spans="2:17" s="20" customFormat="1" ht="15.5">
      <c r="B19" s="379"/>
      <c r="C19" s="445" t="s">
        <v>103</v>
      </c>
      <c r="D19" s="445"/>
      <c r="E19" s="445"/>
      <c r="F19" s="445"/>
      <c r="G19" s="445"/>
      <c r="H19" s="445"/>
      <c r="I19" s="445"/>
      <c r="J19" s="445"/>
      <c r="K19" s="445"/>
      <c r="L19" s="445"/>
      <c r="M19" s="445"/>
      <c r="N19" s="445"/>
      <c r="O19" s="445"/>
      <c r="P19" s="445"/>
      <c r="Q19" s="446"/>
    </row>
    <row r="20" spans="2:17" s="20" customFormat="1" ht="15.5">
      <c r="B20" s="379"/>
      <c r="C20" s="8" t="s">
        <v>37</v>
      </c>
      <c r="D20" s="380" t="s">
        <v>74</v>
      </c>
      <c r="E20" s="380"/>
      <c r="F20" s="380"/>
      <c r="G20" s="380"/>
      <c r="H20" s="86" t="s">
        <v>11</v>
      </c>
      <c r="I20" s="18">
        <f>'Master Data'!Q34+'Master Data'!R34</f>
        <v>36000</v>
      </c>
      <c r="J20" s="8" t="s">
        <v>38</v>
      </c>
      <c r="K20" s="447" t="s">
        <v>111</v>
      </c>
      <c r="L20" s="447"/>
      <c r="M20" s="447"/>
      <c r="N20" s="86" t="s">
        <v>11</v>
      </c>
      <c r="O20" s="65">
        <f>IF('Master Data'!AB2="Yes",'Master Data'!O34,0)-Q33</f>
        <v>0</v>
      </c>
      <c r="P20" s="435"/>
      <c r="Q20" s="436"/>
    </row>
    <row r="21" spans="2:17" s="20" customFormat="1" ht="15.5">
      <c r="B21" s="379"/>
      <c r="C21" s="8" t="s">
        <v>39</v>
      </c>
      <c r="D21" s="380" t="s">
        <v>75</v>
      </c>
      <c r="E21" s="380"/>
      <c r="F21" s="380"/>
      <c r="G21" s="380"/>
      <c r="H21" s="86" t="s">
        <v>11</v>
      </c>
      <c r="I21" s="18">
        <f>'Master Data'!U34+'Other Deduction'!B10</f>
        <v>0</v>
      </c>
      <c r="J21" s="8" t="s">
        <v>40</v>
      </c>
      <c r="K21" s="402" t="s">
        <v>41</v>
      </c>
      <c r="L21" s="402"/>
      <c r="M21" s="402"/>
      <c r="N21" s="86" t="s">
        <v>11</v>
      </c>
      <c r="O21" s="18">
        <f>'Other Deduction'!E6</f>
        <v>0</v>
      </c>
      <c r="P21" s="448"/>
      <c r="Q21" s="449"/>
    </row>
    <row r="22" spans="2:17" s="20" customFormat="1" ht="15.5">
      <c r="B22" s="379"/>
      <c r="C22" s="8" t="s">
        <v>42</v>
      </c>
      <c r="D22" s="380" t="s">
        <v>76</v>
      </c>
      <c r="E22" s="380"/>
      <c r="F22" s="380"/>
      <c r="G22" s="380"/>
      <c r="H22" s="86" t="s">
        <v>11</v>
      </c>
      <c r="I22" s="18">
        <f>'Other Deduction'!B14</f>
        <v>0</v>
      </c>
      <c r="J22" s="8" t="s">
        <v>43</v>
      </c>
      <c r="K22" s="402" t="s">
        <v>17</v>
      </c>
      <c r="L22" s="402"/>
      <c r="M22" s="402"/>
      <c r="N22" s="86" t="s">
        <v>11</v>
      </c>
      <c r="O22" s="19">
        <f>'Other Deduction'!B15</f>
        <v>0</v>
      </c>
      <c r="P22" s="448"/>
      <c r="Q22" s="449"/>
    </row>
    <row r="23" spans="2:17" s="20" customFormat="1" ht="15.5">
      <c r="B23" s="379"/>
      <c r="C23" s="8" t="s">
        <v>44</v>
      </c>
      <c r="D23" s="380" t="s">
        <v>77</v>
      </c>
      <c r="E23" s="380"/>
      <c r="F23" s="380"/>
      <c r="G23" s="380"/>
      <c r="H23" s="86" t="s">
        <v>11</v>
      </c>
      <c r="I23" s="18">
        <f>'Other Deduction'!B16</f>
        <v>0</v>
      </c>
      <c r="J23" s="8" t="s">
        <v>45</v>
      </c>
      <c r="K23" s="402" t="s">
        <v>104</v>
      </c>
      <c r="L23" s="402"/>
      <c r="M23" s="402"/>
      <c r="N23" s="86" t="s">
        <v>11</v>
      </c>
      <c r="O23" s="19">
        <f>'Other Deduction'!B12</f>
        <v>0</v>
      </c>
      <c r="P23" s="448"/>
      <c r="Q23" s="449"/>
    </row>
    <row r="24" spans="2:17" s="20" customFormat="1" ht="15.5">
      <c r="B24" s="379"/>
      <c r="C24" s="8" t="s">
        <v>46</v>
      </c>
      <c r="D24" s="380" t="s">
        <v>78</v>
      </c>
      <c r="E24" s="380"/>
      <c r="F24" s="380"/>
      <c r="G24" s="380"/>
      <c r="H24" s="86" t="s">
        <v>11</v>
      </c>
      <c r="I24" s="18">
        <f>'Other Deduction'!B17</f>
        <v>0</v>
      </c>
      <c r="J24" s="8" t="s">
        <v>47</v>
      </c>
      <c r="K24" s="402" t="s">
        <v>107</v>
      </c>
      <c r="L24" s="402"/>
      <c r="M24" s="402"/>
      <c r="N24" s="86" t="s">
        <v>11</v>
      </c>
      <c r="O24" s="18">
        <f>'Other Deduction'!E15</f>
        <v>0</v>
      </c>
      <c r="P24" s="448"/>
      <c r="Q24" s="449"/>
    </row>
    <row r="25" spans="2:17" s="20" customFormat="1" ht="15.5">
      <c r="B25" s="379"/>
      <c r="C25" s="8" t="s">
        <v>48</v>
      </c>
      <c r="D25" s="380" t="s">
        <v>79</v>
      </c>
      <c r="E25" s="380"/>
      <c r="F25" s="380"/>
      <c r="G25" s="380"/>
      <c r="H25" s="86" t="s">
        <v>11</v>
      </c>
      <c r="I25" s="18">
        <f>IF('Master Data'!AB2="No",'Master Data'!O34,0)</f>
        <v>106070</v>
      </c>
      <c r="J25" s="8" t="s">
        <v>49</v>
      </c>
      <c r="K25" s="402" t="s">
        <v>106</v>
      </c>
      <c r="L25" s="402"/>
      <c r="M25" s="402"/>
      <c r="N25" s="86" t="s">
        <v>11</v>
      </c>
      <c r="O25" s="18">
        <f>'Other Deduction'!E16</f>
        <v>0</v>
      </c>
      <c r="P25" s="448"/>
      <c r="Q25" s="449"/>
    </row>
    <row r="26" spans="2:17" s="20" customFormat="1" ht="15.5">
      <c r="B26" s="379"/>
      <c r="C26" s="8" t="s">
        <v>50</v>
      </c>
      <c r="D26" s="376" t="s">
        <v>113</v>
      </c>
      <c r="E26" s="377"/>
      <c r="F26" s="377"/>
      <c r="G26" s="378"/>
      <c r="H26" s="86" t="s">
        <v>11</v>
      </c>
      <c r="I26" s="19">
        <f>IF(OR('Master Data'!V14=0,'Master Data'!V14=""),0,220)</f>
        <v>220</v>
      </c>
      <c r="J26" s="8" t="s">
        <v>51</v>
      </c>
      <c r="K26" s="409" t="s">
        <v>105</v>
      </c>
      <c r="L26" s="409"/>
      <c r="M26" s="409"/>
      <c r="N26" s="86" t="s">
        <v>11</v>
      </c>
      <c r="O26" s="18">
        <f>'Other Deduction'!B11</f>
        <v>0</v>
      </c>
      <c r="P26" s="448"/>
      <c r="Q26" s="449"/>
    </row>
    <row r="27" spans="2:17" s="20" customFormat="1" ht="15.5">
      <c r="B27" s="379"/>
      <c r="C27" s="8" t="s">
        <v>52</v>
      </c>
      <c r="D27" s="380" t="s">
        <v>9</v>
      </c>
      <c r="E27" s="380"/>
      <c r="F27" s="380"/>
      <c r="G27" s="380"/>
      <c r="H27" s="86" t="s">
        <v>11</v>
      </c>
      <c r="I27" s="19">
        <f>'Other Deduction'!B13</f>
        <v>0</v>
      </c>
      <c r="J27" s="8" t="s">
        <v>53</v>
      </c>
      <c r="K27" s="409" t="s">
        <v>146</v>
      </c>
      <c r="L27" s="409"/>
      <c r="M27" s="409"/>
      <c r="N27" s="86" t="s">
        <v>11</v>
      </c>
      <c r="O27" s="18">
        <f>'Other Deduction'!E5</f>
        <v>0</v>
      </c>
      <c r="P27" s="448"/>
      <c r="Q27" s="449"/>
    </row>
    <row r="28" spans="2:17" s="20" customFormat="1" ht="15.5">
      <c r="B28" s="379"/>
      <c r="C28" s="8" t="s">
        <v>54</v>
      </c>
      <c r="D28" s="380" t="s">
        <v>88</v>
      </c>
      <c r="E28" s="380"/>
      <c r="F28" s="380"/>
      <c r="G28" s="380"/>
      <c r="H28" s="86" t="s">
        <v>11</v>
      </c>
      <c r="I28" s="18">
        <f>'Master Data'!W34+'Other Deduction'!B8</f>
        <v>0</v>
      </c>
      <c r="J28" s="8" t="s">
        <v>152</v>
      </c>
      <c r="K28" s="409" t="s">
        <v>153</v>
      </c>
      <c r="L28" s="409"/>
      <c r="M28" s="409"/>
      <c r="N28" s="86" t="s">
        <v>11</v>
      </c>
      <c r="O28" s="18">
        <f>'Other Deduction'!B18</f>
        <v>0</v>
      </c>
      <c r="P28" s="448"/>
      <c r="Q28" s="449"/>
    </row>
    <row r="29" spans="2:17" s="20" customFormat="1" ht="15.5">
      <c r="B29" s="379"/>
      <c r="C29" s="8" t="s">
        <v>217</v>
      </c>
      <c r="D29" s="410" t="s">
        <v>198</v>
      </c>
      <c r="E29" s="411"/>
      <c r="F29" s="411"/>
      <c r="G29" s="412"/>
      <c r="H29" s="115" t="s">
        <v>11</v>
      </c>
      <c r="I29" s="18">
        <f>IF('Master Data'!AB2="Yes",'Master Data'!Z34,0)</f>
        <v>0</v>
      </c>
      <c r="J29" s="8"/>
      <c r="K29" s="413"/>
      <c r="L29" s="414"/>
      <c r="M29" s="415"/>
      <c r="N29" s="115" t="s">
        <v>11</v>
      </c>
      <c r="O29" s="18"/>
      <c r="P29" s="448"/>
      <c r="Q29" s="449"/>
    </row>
    <row r="30" spans="2:17" s="20" customFormat="1" ht="15.5">
      <c r="B30" s="379"/>
      <c r="C30" s="450" t="s">
        <v>154</v>
      </c>
      <c r="D30" s="451"/>
      <c r="E30" s="451"/>
      <c r="F30" s="451"/>
      <c r="G30" s="451"/>
      <c r="H30" s="451"/>
      <c r="I30" s="451"/>
      <c r="J30" s="451"/>
      <c r="K30" s="451"/>
      <c r="L30" s="451"/>
      <c r="M30" s="452"/>
      <c r="N30" s="86" t="s">
        <v>11</v>
      </c>
      <c r="O30" s="21">
        <f>SUM(I20:I29)+SUM(O20:O29)</f>
        <v>142290</v>
      </c>
      <c r="P30" s="437"/>
      <c r="Q30" s="438"/>
    </row>
    <row r="31" spans="2:17" s="20" customFormat="1" ht="15.5">
      <c r="B31" s="379"/>
      <c r="C31" s="401" t="s">
        <v>102</v>
      </c>
      <c r="D31" s="401"/>
      <c r="E31" s="401"/>
      <c r="F31" s="401"/>
      <c r="G31" s="401"/>
      <c r="H31" s="401"/>
      <c r="I31" s="401"/>
      <c r="J31" s="401"/>
      <c r="K31" s="401"/>
      <c r="L31" s="401"/>
      <c r="M31" s="401"/>
      <c r="N31" s="401"/>
      <c r="O31" s="401"/>
      <c r="P31" s="86" t="s">
        <v>11</v>
      </c>
      <c r="Q31" s="29">
        <v>0</v>
      </c>
    </row>
    <row r="32" spans="2:17" s="20" customFormat="1" ht="15.5">
      <c r="B32" s="379"/>
      <c r="C32" s="403" t="s">
        <v>121</v>
      </c>
      <c r="D32" s="404"/>
      <c r="E32" s="404"/>
      <c r="F32" s="404"/>
      <c r="G32" s="404"/>
      <c r="H32" s="404"/>
      <c r="I32" s="404"/>
      <c r="J32" s="404"/>
      <c r="K32" s="404"/>
      <c r="L32" s="404"/>
      <c r="M32" s="404"/>
      <c r="N32" s="404"/>
      <c r="O32" s="405"/>
      <c r="P32" s="86"/>
      <c r="Q32" s="64">
        <f>IF('Master Data'!AB2="Yes",'Master Data'!O34,0)</f>
        <v>0</v>
      </c>
    </row>
    <row r="33" spans="2:17" s="20" customFormat="1" ht="15.5">
      <c r="B33" s="379"/>
      <c r="C33" s="406" t="s">
        <v>120</v>
      </c>
      <c r="D33" s="407"/>
      <c r="E33" s="407"/>
      <c r="F33" s="407"/>
      <c r="G33" s="407"/>
      <c r="H33" s="407"/>
      <c r="I33" s="407"/>
      <c r="J33" s="407"/>
      <c r="K33" s="407"/>
      <c r="L33" s="407"/>
      <c r="M33" s="407"/>
      <c r="N33" s="407"/>
      <c r="O33" s="408"/>
      <c r="P33" s="86" t="s">
        <v>11</v>
      </c>
      <c r="Q33" s="30">
        <f>'Other Deduction'!E7</f>
        <v>0</v>
      </c>
    </row>
    <row r="34" spans="2:17" s="20" customFormat="1" ht="15.5">
      <c r="B34" s="361"/>
      <c r="C34" s="401" t="s">
        <v>110</v>
      </c>
      <c r="D34" s="401"/>
      <c r="E34" s="401"/>
      <c r="F34" s="401"/>
      <c r="G34" s="401"/>
      <c r="H34" s="401"/>
      <c r="I34" s="401"/>
      <c r="J34" s="401"/>
      <c r="K34" s="401"/>
      <c r="L34" s="401"/>
      <c r="M34" s="401"/>
      <c r="N34" s="401"/>
      <c r="O34" s="401"/>
      <c r="P34" s="86" t="s">
        <v>11</v>
      </c>
      <c r="Q34" s="29">
        <f>SUM(Q31:Q33)</f>
        <v>0</v>
      </c>
    </row>
    <row r="35" spans="2:17" s="20" customFormat="1" ht="15.5">
      <c r="B35" s="360">
        <v>12</v>
      </c>
      <c r="C35" s="359" t="s">
        <v>119</v>
      </c>
      <c r="D35" s="359"/>
      <c r="E35" s="359"/>
      <c r="F35" s="359"/>
      <c r="G35" s="359"/>
      <c r="H35" s="359"/>
      <c r="I35" s="359"/>
      <c r="J35" s="359"/>
      <c r="K35" s="359"/>
      <c r="L35" s="359"/>
      <c r="M35" s="359"/>
      <c r="N35" s="359"/>
      <c r="O35" s="359"/>
      <c r="P35" s="359"/>
      <c r="Q35" s="397"/>
    </row>
    <row r="36" spans="2:17" s="20" customFormat="1" ht="15.5">
      <c r="B36" s="379"/>
      <c r="C36" s="398" t="s">
        <v>246</v>
      </c>
      <c r="D36" s="399"/>
      <c r="E36" s="399"/>
      <c r="F36" s="399"/>
      <c r="G36" s="399"/>
      <c r="H36" s="399"/>
      <c r="I36" s="399"/>
      <c r="J36" s="399"/>
      <c r="K36" s="399"/>
      <c r="L36" s="399"/>
      <c r="M36" s="399"/>
      <c r="N36" s="399"/>
      <c r="O36" s="400"/>
      <c r="P36" s="86" t="s">
        <v>11</v>
      </c>
      <c r="Q36" s="30">
        <f>'Other Deduction'!E8</f>
        <v>0</v>
      </c>
    </row>
    <row r="37" spans="2:17" s="20" customFormat="1" ht="15.5">
      <c r="B37" s="379"/>
      <c r="C37" s="380" t="s">
        <v>174</v>
      </c>
      <c r="D37" s="380"/>
      <c r="E37" s="380"/>
      <c r="F37" s="380"/>
      <c r="G37" s="380"/>
      <c r="H37" s="380"/>
      <c r="I37" s="380"/>
      <c r="J37" s="380"/>
      <c r="K37" s="380"/>
      <c r="L37" s="380"/>
      <c r="M37" s="380"/>
      <c r="N37" s="380"/>
      <c r="O37" s="380"/>
      <c r="P37" s="86" t="s">
        <v>11</v>
      </c>
      <c r="Q37" s="30">
        <f>'Other Deduction'!E9</f>
        <v>0</v>
      </c>
    </row>
    <row r="38" spans="2:17" s="20" customFormat="1" ht="15.5">
      <c r="B38" s="379"/>
      <c r="C38" s="380" t="s">
        <v>185</v>
      </c>
      <c r="D38" s="380"/>
      <c r="E38" s="380"/>
      <c r="F38" s="380"/>
      <c r="G38" s="380"/>
      <c r="H38" s="380"/>
      <c r="I38" s="380"/>
      <c r="J38" s="380"/>
      <c r="K38" s="380"/>
      <c r="L38" s="380"/>
      <c r="M38" s="380"/>
      <c r="N38" s="380"/>
      <c r="O38" s="380"/>
      <c r="P38" s="86" t="s">
        <v>11</v>
      </c>
      <c r="Q38" s="30">
        <f>'Other Deduction'!E10</f>
        <v>0</v>
      </c>
    </row>
    <row r="39" spans="2:17" s="20" customFormat="1" ht="15.5">
      <c r="B39" s="379"/>
      <c r="C39" s="380" t="s">
        <v>137</v>
      </c>
      <c r="D39" s="380"/>
      <c r="E39" s="380"/>
      <c r="F39" s="380"/>
      <c r="G39" s="380"/>
      <c r="H39" s="380"/>
      <c r="I39" s="380"/>
      <c r="J39" s="380"/>
      <c r="K39" s="380"/>
      <c r="L39" s="380"/>
      <c r="M39" s="380"/>
      <c r="N39" s="380"/>
      <c r="O39" s="380"/>
      <c r="P39" s="86" t="s">
        <v>11</v>
      </c>
      <c r="Q39" s="30">
        <f>'Other Deduction'!E11</f>
        <v>0</v>
      </c>
    </row>
    <row r="40" spans="2:17" s="20" customFormat="1" ht="15.5">
      <c r="B40" s="379"/>
      <c r="C40" s="380" t="s">
        <v>138</v>
      </c>
      <c r="D40" s="380"/>
      <c r="E40" s="380"/>
      <c r="F40" s="380"/>
      <c r="G40" s="380"/>
      <c r="H40" s="380"/>
      <c r="I40" s="380"/>
      <c r="J40" s="380"/>
      <c r="K40" s="380"/>
      <c r="L40" s="380"/>
      <c r="M40" s="380"/>
      <c r="N40" s="380"/>
      <c r="O40" s="380"/>
      <c r="P40" s="86" t="s">
        <v>11</v>
      </c>
      <c r="Q40" s="30">
        <v>0</v>
      </c>
    </row>
    <row r="41" spans="2:17" s="20" customFormat="1" ht="15.5">
      <c r="B41" s="379"/>
      <c r="C41" s="398" t="s">
        <v>139</v>
      </c>
      <c r="D41" s="399"/>
      <c r="E41" s="399"/>
      <c r="F41" s="399"/>
      <c r="G41" s="399"/>
      <c r="H41" s="399"/>
      <c r="I41" s="399"/>
      <c r="J41" s="399"/>
      <c r="K41" s="399"/>
      <c r="L41" s="399"/>
      <c r="M41" s="399"/>
      <c r="N41" s="399"/>
      <c r="O41" s="400"/>
      <c r="P41" s="86" t="s">
        <v>11</v>
      </c>
      <c r="Q41" s="30">
        <f>'Other Deduction'!E13</f>
        <v>0</v>
      </c>
    </row>
    <row r="42" spans="2:17" s="20" customFormat="1" ht="15.5">
      <c r="B42" s="379"/>
      <c r="C42" s="376" t="s">
        <v>176</v>
      </c>
      <c r="D42" s="377"/>
      <c r="E42" s="377"/>
      <c r="F42" s="377"/>
      <c r="G42" s="377"/>
      <c r="H42" s="377"/>
      <c r="I42" s="377"/>
      <c r="J42" s="377"/>
      <c r="K42" s="377"/>
      <c r="L42" s="377"/>
      <c r="M42" s="377"/>
      <c r="N42" s="377"/>
      <c r="O42" s="378"/>
      <c r="P42" s="86" t="s">
        <v>11</v>
      </c>
      <c r="Q42" s="30">
        <f>IF('Master Data'!P5="Yes",IF('Other Deduction'!E3&lt;50001,'Other Deduction'!E3,50000),IF('Other Deduction'!E3&lt;10001,'Other Deduction'!E3,10000))</f>
        <v>0</v>
      </c>
    </row>
    <row r="43" spans="2:17" s="20" customFormat="1" ht="15.5">
      <c r="B43" s="379"/>
      <c r="C43" s="376" t="s">
        <v>108</v>
      </c>
      <c r="D43" s="377"/>
      <c r="E43" s="377"/>
      <c r="F43" s="377"/>
      <c r="G43" s="377"/>
      <c r="H43" s="377"/>
      <c r="I43" s="377"/>
      <c r="J43" s="377"/>
      <c r="K43" s="377"/>
      <c r="L43" s="377"/>
      <c r="M43" s="377"/>
      <c r="N43" s="377"/>
      <c r="O43" s="378"/>
      <c r="P43" s="86" t="s">
        <v>11</v>
      </c>
      <c r="Q43" s="30">
        <f>'Other Deduction'!E14</f>
        <v>0</v>
      </c>
    </row>
    <row r="44" spans="2:17" s="20" customFormat="1" ht="15.5">
      <c r="B44" s="361"/>
      <c r="C44" s="401" t="s">
        <v>55</v>
      </c>
      <c r="D44" s="401"/>
      <c r="E44" s="401"/>
      <c r="F44" s="401"/>
      <c r="G44" s="401"/>
      <c r="H44" s="401"/>
      <c r="I44" s="401"/>
      <c r="J44" s="401"/>
      <c r="K44" s="401"/>
      <c r="L44" s="401"/>
      <c r="M44" s="401"/>
      <c r="N44" s="401"/>
      <c r="O44" s="401"/>
      <c r="P44" s="86" t="s">
        <v>11</v>
      </c>
      <c r="Q44" s="31">
        <v>0</v>
      </c>
    </row>
    <row r="45" spans="2:17" s="20" customFormat="1" ht="15.5">
      <c r="B45" s="28">
        <v>13</v>
      </c>
      <c r="C45" s="359" t="s">
        <v>115</v>
      </c>
      <c r="D45" s="359"/>
      <c r="E45" s="359"/>
      <c r="F45" s="359"/>
      <c r="G45" s="359"/>
      <c r="H45" s="359"/>
      <c r="I45" s="359"/>
      <c r="J45" s="359"/>
      <c r="K45" s="359"/>
      <c r="L45" s="359"/>
      <c r="M45" s="359"/>
      <c r="N45" s="359"/>
      <c r="O45" s="359"/>
      <c r="P45" s="86" t="s">
        <v>11</v>
      </c>
      <c r="Q45" s="30">
        <f>Q34+Q44</f>
        <v>0</v>
      </c>
    </row>
    <row r="46" spans="2:17" s="20" customFormat="1" ht="15.5">
      <c r="B46" s="28">
        <v>14</v>
      </c>
      <c r="C46" s="380" t="s">
        <v>66</v>
      </c>
      <c r="D46" s="380"/>
      <c r="E46" s="380"/>
      <c r="F46" s="380"/>
      <c r="G46" s="380"/>
      <c r="H46" s="380"/>
      <c r="I46" s="380"/>
      <c r="J46" s="380"/>
      <c r="K46" s="380"/>
      <c r="L46" s="380"/>
      <c r="M46" s="380"/>
      <c r="N46" s="380"/>
      <c r="O46" s="380"/>
      <c r="P46" s="86" t="s">
        <v>11</v>
      </c>
      <c r="Q46" s="30">
        <f>(Q17-Q45)</f>
        <v>1363097</v>
      </c>
    </row>
    <row r="47" spans="2:17" s="20" customFormat="1" ht="15.5">
      <c r="B47" s="28">
        <v>15</v>
      </c>
      <c r="C47" s="359" t="s">
        <v>156</v>
      </c>
      <c r="D47" s="359"/>
      <c r="E47" s="359"/>
      <c r="F47" s="359"/>
      <c r="G47" s="359"/>
      <c r="H47" s="359"/>
      <c r="I47" s="359"/>
      <c r="J47" s="359"/>
      <c r="K47" s="359"/>
      <c r="L47" s="359"/>
      <c r="M47" s="359"/>
      <c r="N47" s="359"/>
      <c r="O47" s="359"/>
      <c r="P47" s="86" t="s">
        <v>11</v>
      </c>
      <c r="Q47" s="29">
        <f>ROUND(Q46,-1)</f>
        <v>1363100</v>
      </c>
    </row>
    <row r="48" spans="2:17" s="20" customFormat="1" ht="15.5">
      <c r="B48" s="360">
        <v>16</v>
      </c>
      <c r="C48" s="380" t="s">
        <v>56</v>
      </c>
      <c r="D48" s="380"/>
      <c r="E48" s="380"/>
      <c r="F48" s="380"/>
      <c r="G48" s="380"/>
      <c r="H48" s="380"/>
      <c r="I48" s="380"/>
      <c r="J48" s="380"/>
      <c r="K48" s="380"/>
      <c r="L48" s="380"/>
      <c r="M48" s="380"/>
      <c r="N48" s="380"/>
      <c r="O48" s="380"/>
      <c r="P48" s="380"/>
      <c r="Q48" s="381"/>
    </row>
    <row r="49" spans="2:17" s="20" customFormat="1" ht="15.5">
      <c r="B49" s="379"/>
      <c r="C49" s="382" t="s">
        <v>82</v>
      </c>
      <c r="D49" s="382"/>
      <c r="E49" s="382"/>
      <c r="F49" s="382"/>
      <c r="G49" s="382"/>
      <c r="H49" s="382" t="s">
        <v>97</v>
      </c>
      <c r="I49" s="382"/>
      <c r="J49" s="382"/>
      <c r="K49" s="382"/>
      <c r="L49" s="383" t="s">
        <v>114</v>
      </c>
      <c r="M49" s="384"/>
      <c r="N49" s="384"/>
      <c r="O49" s="385"/>
      <c r="P49" s="9"/>
      <c r="Q49" s="32"/>
    </row>
    <row r="50" spans="2:17" s="20" customFormat="1" ht="15.5">
      <c r="B50" s="379"/>
      <c r="C50" s="386" t="s">
        <v>186</v>
      </c>
      <c r="D50" s="387"/>
      <c r="E50" s="388"/>
      <c r="F50" s="390" t="s">
        <v>57</v>
      </c>
      <c r="G50" s="390"/>
      <c r="H50" s="394" t="s">
        <v>98</v>
      </c>
      <c r="I50" s="395"/>
      <c r="J50" s="396"/>
      <c r="K50" s="89" t="s">
        <v>57</v>
      </c>
      <c r="L50" s="394" t="s">
        <v>98</v>
      </c>
      <c r="M50" s="395"/>
      <c r="N50" s="396"/>
      <c r="O50" s="93" t="s">
        <v>57</v>
      </c>
      <c r="P50" s="86" t="s">
        <v>11</v>
      </c>
      <c r="Q50" s="33">
        <v>0</v>
      </c>
    </row>
    <row r="51" spans="2:17" s="20" customFormat="1" ht="15.5">
      <c r="B51" s="379"/>
      <c r="C51" s="386" t="s">
        <v>58</v>
      </c>
      <c r="D51" s="387"/>
      <c r="E51" s="388"/>
      <c r="F51" s="389">
        <v>0.05</v>
      </c>
      <c r="G51" s="390"/>
      <c r="H51" s="386" t="s">
        <v>58</v>
      </c>
      <c r="I51" s="387"/>
      <c r="J51" s="388"/>
      <c r="K51" s="88">
        <v>0.05</v>
      </c>
      <c r="L51" s="394" t="s">
        <v>84</v>
      </c>
      <c r="M51" s="395"/>
      <c r="N51" s="396"/>
      <c r="O51" s="92">
        <v>0.05</v>
      </c>
      <c r="P51" s="86" t="s">
        <v>11</v>
      </c>
      <c r="Q51" s="33">
        <f>ROUND(IF('Master Data'!P5="No",IF(Q47&lt;250001,0,IF(Q47&gt;500000,12500,((Q47-250000)*0.05))),IF(Q47&lt;300001,0,IF(Q47&gt;500000,10000,((Q47-300000)*0.05)))),0)</f>
        <v>12500</v>
      </c>
    </row>
    <row r="52" spans="2:17" s="20" customFormat="1" ht="15.5">
      <c r="B52" s="379"/>
      <c r="C52" s="386" t="s">
        <v>187</v>
      </c>
      <c r="D52" s="387"/>
      <c r="E52" s="388"/>
      <c r="F52" s="389">
        <v>0.1</v>
      </c>
      <c r="G52" s="390"/>
      <c r="H52" s="386" t="s">
        <v>187</v>
      </c>
      <c r="I52" s="387"/>
      <c r="J52" s="388"/>
      <c r="K52" s="88">
        <v>0.1</v>
      </c>
      <c r="L52" s="386" t="s">
        <v>187</v>
      </c>
      <c r="M52" s="387"/>
      <c r="N52" s="388"/>
      <c r="O52" s="91">
        <v>0.1</v>
      </c>
      <c r="P52" s="86" t="s">
        <v>11</v>
      </c>
      <c r="Q52" s="33">
        <f>IF(Q47&lt;500001,0,IF(Q47&gt;750000,25000,((Q47-500000)*0.1)))</f>
        <v>25000</v>
      </c>
    </row>
    <row r="53" spans="2:17" s="20" customFormat="1" ht="15.5">
      <c r="B53" s="379"/>
      <c r="C53" s="386" t="s">
        <v>188</v>
      </c>
      <c r="D53" s="387"/>
      <c r="E53" s="388"/>
      <c r="F53" s="389">
        <v>0.15</v>
      </c>
      <c r="G53" s="390"/>
      <c r="H53" s="386" t="s">
        <v>188</v>
      </c>
      <c r="I53" s="387"/>
      <c r="J53" s="388"/>
      <c r="K53" s="88">
        <v>0.15</v>
      </c>
      <c r="L53" s="386" t="s">
        <v>188</v>
      </c>
      <c r="M53" s="387"/>
      <c r="N53" s="388"/>
      <c r="O53" s="91">
        <v>0.15</v>
      </c>
      <c r="P53" s="90" t="s">
        <v>11</v>
      </c>
      <c r="Q53" s="33">
        <f>IF(Q47&lt;750001,0,IF(Q47&gt;1000000,37500,((Q47-750000)*0.15)))</f>
        <v>37500</v>
      </c>
    </row>
    <row r="54" spans="2:17" s="20" customFormat="1" ht="15.5">
      <c r="B54" s="379"/>
      <c r="C54" s="386" t="s">
        <v>189</v>
      </c>
      <c r="D54" s="387"/>
      <c r="E54" s="388"/>
      <c r="F54" s="389">
        <v>0.2</v>
      </c>
      <c r="G54" s="390"/>
      <c r="H54" s="386" t="s">
        <v>189</v>
      </c>
      <c r="I54" s="387"/>
      <c r="J54" s="388"/>
      <c r="K54" s="88">
        <v>0.2</v>
      </c>
      <c r="L54" s="386" t="s">
        <v>189</v>
      </c>
      <c r="M54" s="387"/>
      <c r="N54" s="388"/>
      <c r="O54" s="91">
        <v>0.2</v>
      </c>
      <c r="P54" s="90" t="s">
        <v>11</v>
      </c>
      <c r="Q54" s="33">
        <f>IF(Q47&lt;1000001,0,IF(Q47&gt;1250000,50000,((Q47-1000000)*0.2)))</f>
        <v>50000</v>
      </c>
    </row>
    <row r="55" spans="2:17" s="20" customFormat="1" ht="15.5">
      <c r="B55" s="379"/>
      <c r="C55" s="386" t="s">
        <v>190</v>
      </c>
      <c r="D55" s="387"/>
      <c r="E55" s="388"/>
      <c r="F55" s="389">
        <v>0.25</v>
      </c>
      <c r="G55" s="390"/>
      <c r="H55" s="386" t="s">
        <v>190</v>
      </c>
      <c r="I55" s="387"/>
      <c r="J55" s="388"/>
      <c r="K55" s="88">
        <v>0.25</v>
      </c>
      <c r="L55" s="386" t="s">
        <v>190</v>
      </c>
      <c r="M55" s="387"/>
      <c r="N55" s="388"/>
      <c r="O55" s="91">
        <v>0.25</v>
      </c>
      <c r="P55" s="90" t="s">
        <v>11</v>
      </c>
      <c r="Q55" s="33">
        <f>IF(Q47&lt;1250001,0,IF(Q47&gt;1500000,62500,((Q47-1250000)*0.25)))</f>
        <v>28275</v>
      </c>
    </row>
    <row r="56" spans="2:17" s="20" customFormat="1" ht="15.5">
      <c r="B56" s="379"/>
      <c r="C56" s="391" t="s">
        <v>191</v>
      </c>
      <c r="D56" s="392"/>
      <c r="E56" s="393"/>
      <c r="F56" s="389">
        <v>0.3</v>
      </c>
      <c r="G56" s="390"/>
      <c r="H56" s="391" t="s">
        <v>191</v>
      </c>
      <c r="I56" s="392"/>
      <c r="J56" s="393"/>
      <c r="K56" s="88">
        <v>0.3</v>
      </c>
      <c r="L56" s="391" t="s">
        <v>191</v>
      </c>
      <c r="M56" s="392"/>
      <c r="N56" s="393"/>
      <c r="O56" s="91">
        <v>0.3</v>
      </c>
      <c r="P56" s="86" t="s">
        <v>11</v>
      </c>
      <c r="Q56" s="33">
        <f>IF(Q47&lt;1500001,0,((Q47-1500000)*0.3))</f>
        <v>0</v>
      </c>
    </row>
    <row r="57" spans="2:17" s="20" customFormat="1" ht="15.5">
      <c r="B57" s="379"/>
      <c r="C57" s="368" t="s">
        <v>67</v>
      </c>
      <c r="D57" s="369"/>
      <c r="E57" s="369"/>
      <c r="F57" s="369"/>
      <c r="G57" s="369"/>
      <c r="H57" s="369"/>
      <c r="I57" s="369"/>
      <c r="J57" s="369"/>
      <c r="K57" s="369"/>
      <c r="L57" s="369"/>
      <c r="M57" s="369"/>
      <c r="N57" s="369"/>
      <c r="O57" s="370"/>
      <c r="P57" s="86" t="s">
        <v>11</v>
      </c>
      <c r="Q57" s="29">
        <f>SUM(Q50:Q56)</f>
        <v>153275</v>
      </c>
    </row>
    <row r="58" spans="2:17" s="20" customFormat="1" ht="15.5">
      <c r="B58" s="379"/>
      <c r="C58" s="371" t="s">
        <v>177</v>
      </c>
      <c r="D58" s="372"/>
      <c r="E58" s="372"/>
      <c r="F58" s="372"/>
      <c r="G58" s="372"/>
      <c r="H58" s="372"/>
      <c r="I58" s="372"/>
      <c r="J58" s="372"/>
      <c r="K58" s="372"/>
      <c r="L58" s="372"/>
      <c r="M58" s="372"/>
      <c r="N58" s="372"/>
      <c r="O58" s="373"/>
      <c r="P58" s="86" t="s">
        <v>11</v>
      </c>
      <c r="Q58" s="30">
        <f>IF(Q47&gt;500000,0,IF(Q57&lt;12501,Q57,12500))</f>
        <v>0</v>
      </c>
    </row>
    <row r="59" spans="2:17" s="20" customFormat="1" ht="15.5">
      <c r="B59" s="379"/>
      <c r="C59" s="368" t="s">
        <v>100</v>
      </c>
      <c r="D59" s="369"/>
      <c r="E59" s="369"/>
      <c r="F59" s="369"/>
      <c r="G59" s="369"/>
      <c r="H59" s="369"/>
      <c r="I59" s="369"/>
      <c r="J59" s="369"/>
      <c r="K59" s="369"/>
      <c r="L59" s="369"/>
      <c r="M59" s="369"/>
      <c r="N59" s="369"/>
      <c r="O59" s="370"/>
      <c r="P59" s="86" t="s">
        <v>11</v>
      </c>
      <c r="Q59" s="29">
        <f>Q57-Q58</f>
        <v>153275</v>
      </c>
    </row>
    <row r="60" spans="2:17" s="20" customFormat="1" ht="15.5">
      <c r="B60" s="379"/>
      <c r="C60" s="374" t="s">
        <v>170</v>
      </c>
      <c r="D60" s="374"/>
      <c r="E60" s="374"/>
      <c r="F60" s="374"/>
      <c r="G60" s="374"/>
      <c r="H60" s="374"/>
      <c r="I60" s="374"/>
      <c r="J60" s="374"/>
      <c r="K60" s="374"/>
      <c r="L60" s="374"/>
      <c r="M60" s="374"/>
      <c r="N60" s="374"/>
      <c r="O60" s="374"/>
      <c r="P60" s="86" t="s">
        <v>11</v>
      </c>
      <c r="Q60" s="30">
        <f>ROUND(Q59*0.04,0)</f>
        <v>6131</v>
      </c>
    </row>
    <row r="61" spans="2:17" s="20" customFormat="1" ht="15.5">
      <c r="B61" s="361"/>
      <c r="C61" s="375" t="s">
        <v>101</v>
      </c>
      <c r="D61" s="375"/>
      <c r="E61" s="375"/>
      <c r="F61" s="375"/>
      <c r="G61" s="375"/>
      <c r="H61" s="375"/>
      <c r="I61" s="375"/>
      <c r="J61" s="375"/>
      <c r="K61" s="375"/>
      <c r="L61" s="375"/>
      <c r="M61" s="375"/>
      <c r="N61" s="375"/>
      <c r="O61" s="375"/>
      <c r="P61" s="86" t="s">
        <v>11</v>
      </c>
      <c r="Q61" s="29">
        <f>SUM(Q59:Q60)</f>
        <v>159406</v>
      </c>
    </row>
    <row r="62" spans="2:17" s="20" customFormat="1" ht="15.5">
      <c r="B62" s="28">
        <v>17</v>
      </c>
      <c r="C62" s="376" t="s">
        <v>68</v>
      </c>
      <c r="D62" s="377"/>
      <c r="E62" s="377"/>
      <c r="F62" s="377"/>
      <c r="G62" s="377"/>
      <c r="H62" s="377"/>
      <c r="I62" s="377"/>
      <c r="J62" s="377"/>
      <c r="K62" s="377"/>
      <c r="L62" s="377"/>
      <c r="M62" s="377"/>
      <c r="N62" s="377"/>
      <c r="O62" s="378"/>
      <c r="P62" s="86" t="s">
        <v>11</v>
      </c>
      <c r="Q62" s="30">
        <f>'Other Deduction'!E17</f>
        <v>0</v>
      </c>
    </row>
    <row r="63" spans="2:17" s="20" customFormat="1" ht="15.5">
      <c r="B63" s="28">
        <v>18</v>
      </c>
      <c r="C63" s="359" t="s">
        <v>85</v>
      </c>
      <c r="D63" s="359"/>
      <c r="E63" s="359"/>
      <c r="F63" s="359"/>
      <c r="G63" s="359"/>
      <c r="H63" s="359"/>
      <c r="I63" s="359"/>
      <c r="J63" s="359"/>
      <c r="K63" s="359"/>
      <c r="L63" s="359"/>
      <c r="M63" s="359"/>
      <c r="N63" s="359"/>
      <c r="O63" s="359"/>
      <c r="P63" s="86" t="s">
        <v>11</v>
      </c>
      <c r="Q63" s="29">
        <f>Q61-Q62</f>
        <v>159406</v>
      </c>
    </row>
    <row r="64" spans="2:17" ht="31">
      <c r="B64" s="360">
        <v>19</v>
      </c>
      <c r="C64" s="362" t="s">
        <v>60</v>
      </c>
      <c r="D64" s="362"/>
      <c r="E64" s="363"/>
      <c r="F64" s="366" t="s">
        <v>237</v>
      </c>
      <c r="G64" s="366"/>
      <c r="H64" s="366"/>
      <c r="I64" s="366"/>
      <c r="J64" s="352" t="s">
        <v>238</v>
      </c>
      <c r="K64" s="367"/>
      <c r="L64" s="116" t="s">
        <v>239</v>
      </c>
      <c r="M64" s="352" t="s">
        <v>240</v>
      </c>
      <c r="N64" s="367"/>
      <c r="O64" s="87" t="s">
        <v>89</v>
      </c>
      <c r="P64" s="352" t="s">
        <v>155</v>
      </c>
      <c r="Q64" s="353"/>
    </row>
    <row r="65" spans="1:18" ht="15.5">
      <c r="B65" s="361"/>
      <c r="C65" s="364"/>
      <c r="D65" s="364"/>
      <c r="E65" s="365"/>
      <c r="F65" s="354">
        <f>SUM('Master Data'!Y13:Y19)</f>
        <v>0</v>
      </c>
      <c r="G65" s="354"/>
      <c r="H65" s="354"/>
      <c r="I65" s="354"/>
      <c r="J65" s="354">
        <f>SUM('Master Data'!Y20:Y22)</f>
        <v>0</v>
      </c>
      <c r="K65" s="354"/>
      <c r="L65" s="25">
        <f>'Master Data'!Y23</f>
        <v>0</v>
      </c>
      <c r="M65" s="354">
        <f>'Master Data'!Y24</f>
        <v>0</v>
      </c>
      <c r="N65" s="354"/>
      <c r="O65" s="56">
        <f>SUM('Master Data'!Y25:Y33)+'Other Deduction'!E18</f>
        <v>0</v>
      </c>
      <c r="P65" s="355">
        <f>F65+J65+L65+M65+O65</f>
        <v>0</v>
      </c>
      <c r="Q65" s="356"/>
    </row>
    <row r="66" spans="1:18" ht="16" thickBot="1">
      <c r="B66" s="357" t="str">
        <f>IF(Q63&gt;P65,"Income Tax Payable",IF(Q63&lt;P65,"Income Tax Refundable","Income Tax Payble/Refundable"))</f>
        <v>Income Tax Payable</v>
      </c>
      <c r="C66" s="358"/>
      <c r="D66" s="358"/>
      <c r="E66" s="358"/>
      <c r="F66" s="358"/>
      <c r="G66" s="358"/>
      <c r="H66" s="358"/>
      <c r="I66" s="358"/>
      <c r="J66" s="358"/>
      <c r="K66" s="358"/>
      <c r="L66" s="358"/>
      <c r="M66" s="358"/>
      <c r="N66" s="358"/>
      <c r="O66" s="358"/>
      <c r="P66" s="34" t="s">
        <v>11</v>
      </c>
      <c r="Q66" s="35">
        <f>IF(Q63&gt;P65,Q63-P65,P65-Q63)</f>
        <v>159406</v>
      </c>
    </row>
    <row r="67" spans="1:18" ht="15.5"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40"/>
      <c r="Q67" s="41"/>
    </row>
    <row r="68" spans="1:18" ht="16.5">
      <c r="B68" s="10"/>
      <c r="C68" s="11"/>
      <c r="D68" s="11"/>
      <c r="E68" s="42" t="s">
        <v>116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57" customFormat="1" ht="1.75" customHeight="1">
      <c r="B70" s="58"/>
      <c r="C70" s="351"/>
      <c r="D70" s="351"/>
      <c r="E70" s="351"/>
      <c r="F70" s="351"/>
      <c r="G70" s="351"/>
      <c r="H70" s="351"/>
      <c r="I70" s="351"/>
      <c r="J70" s="351"/>
      <c r="K70" s="351"/>
      <c r="L70" s="351"/>
      <c r="M70" s="351"/>
      <c r="N70" s="351"/>
      <c r="O70" s="351"/>
      <c r="P70" s="351"/>
      <c r="Q70" s="351"/>
    </row>
    <row r="71" spans="1:18" s="57" customFormat="1" ht="15.5" hidden="1">
      <c r="B71" s="59"/>
      <c r="C71" s="351"/>
      <c r="D71" s="351"/>
      <c r="E71" s="351"/>
      <c r="F71" s="351"/>
      <c r="G71" s="351"/>
      <c r="H71" s="351"/>
      <c r="I71" s="351"/>
      <c r="J71" s="351"/>
      <c r="K71" s="351"/>
      <c r="L71" s="351"/>
      <c r="M71" s="351"/>
      <c r="N71" s="351"/>
      <c r="O71" s="351"/>
      <c r="P71" s="351"/>
      <c r="Q71" s="351"/>
    </row>
    <row r="72" spans="1:18" s="57" customFormat="1" ht="15.5" hidden="1">
      <c r="B72" s="58"/>
      <c r="C72" s="351"/>
      <c r="D72" s="351"/>
      <c r="E72" s="351"/>
      <c r="F72" s="351"/>
      <c r="G72" s="351"/>
      <c r="H72" s="351"/>
      <c r="I72" s="351"/>
      <c r="J72" s="351"/>
      <c r="K72" s="351"/>
      <c r="L72" s="351"/>
      <c r="M72" s="351"/>
      <c r="N72" s="351"/>
      <c r="O72" s="351"/>
      <c r="P72" s="351"/>
      <c r="Q72" s="351"/>
    </row>
    <row r="73" spans="1:18" s="57" customFormat="1" ht="15.5" hidden="1">
      <c r="B73" s="58"/>
      <c r="C73" s="60"/>
      <c r="D73" s="60"/>
      <c r="E73" s="60"/>
      <c r="F73" s="60"/>
      <c r="G73" s="60"/>
      <c r="H73" s="60"/>
      <c r="I73" s="60"/>
      <c r="J73" s="60"/>
      <c r="K73" s="60"/>
      <c r="L73" s="319"/>
      <c r="M73" s="319"/>
      <c r="N73" s="319"/>
      <c r="O73" s="319"/>
      <c r="P73" s="319"/>
      <c r="Q73" s="319"/>
    </row>
    <row r="74" spans="1:18" s="57" customFormat="1" ht="15.5" hidden="1">
      <c r="B74" s="58"/>
      <c r="C74" s="60"/>
      <c r="D74" s="60"/>
      <c r="E74" s="60"/>
      <c r="F74" s="60"/>
      <c r="G74" s="60"/>
      <c r="H74" s="60"/>
      <c r="I74" s="60"/>
      <c r="J74" s="60"/>
      <c r="K74" s="60"/>
      <c r="L74" s="319"/>
      <c r="M74" s="319"/>
      <c r="N74" s="319"/>
      <c r="O74" s="319"/>
      <c r="P74" s="319"/>
      <c r="Q74" s="319"/>
    </row>
    <row r="75" spans="1:18" s="57" customFormat="1" ht="15.5" hidden="1">
      <c r="B75" s="58"/>
      <c r="C75" s="60"/>
      <c r="D75" s="60"/>
      <c r="E75" s="60"/>
      <c r="F75" s="60"/>
      <c r="G75" s="60"/>
      <c r="H75" s="60"/>
      <c r="I75" s="60"/>
      <c r="J75" s="60"/>
      <c r="K75" s="60"/>
      <c r="L75" s="319"/>
      <c r="M75" s="319"/>
      <c r="N75" s="319"/>
      <c r="O75" s="319"/>
      <c r="P75" s="319"/>
      <c r="Q75" s="319"/>
    </row>
    <row r="76" spans="1:18" s="57" customFormat="1" ht="15.5" hidden="1">
      <c r="B76" s="58"/>
      <c r="C76" s="60"/>
      <c r="D76" s="60"/>
      <c r="E76" s="60"/>
      <c r="F76" s="60"/>
      <c r="G76" s="60"/>
      <c r="H76" s="60"/>
      <c r="I76" s="60"/>
      <c r="J76" s="60"/>
      <c r="K76" s="60"/>
      <c r="L76" s="319"/>
      <c r="M76" s="319"/>
      <c r="N76" s="319"/>
      <c r="O76" s="319"/>
      <c r="P76" s="319"/>
      <c r="Q76" s="319"/>
    </row>
    <row r="77" spans="1:18" s="57" customFormat="1" ht="15.5" hidden="1">
      <c r="B77" s="58"/>
      <c r="C77" s="60"/>
      <c r="D77" s="60"/>
      <c r="E77" s="60"/>
      <c r="F77" s="60"/>
      <c r="G77" s="60"/>
      <c r="H77" s="60"/>
      <c r="I77" s="60"/>
      <c r="J77" s="60"/>
      <c r="K77" s="60"/>
      <c r="L77" s="319"/>
      <c r="M77" s="319"/>
      <c r="N77" s="319"/>
      <c r="O77" s="319"/>
      <c r="P77" s="319"/>
      <c r="Q77" s="319"/>
    </row>
    <row r="78" spans="1:18" s="57" customFormat="1" ht="15.5" hidden="1">
      <c r="B78" s="59"/>
      <c r="C78" s="61"/>
      <c r="D78" s="262"/>
      <c r="E78" s="262"/>
      <c r="F78" s="262"/>
      <c r="G78" s="262"/>
      <c r="H78" s="262"/>
      <c r="I78" s="262"/>
      <c r="J78" s="262"/>
      <c r="K78" s="61"/>
      <c r="L78" s="319"/>
      <c r="M78" s="319"/>
      <c r="N78" s="319"/>
      <c r="O78" s="319"/>
      <c r="P78" s="319"/>
      <c r="Q78" s="319"/>
    </row>
    <row r="79" spans="1:18" s="57" customFormat="1" ht="15.5" hidden="1">
      <c r="B79" s="59"/>
      <c r="C79" s="61"/>
      <c r="D79" s="61"/>
      <c r="E79" s="61"/>
      <c r="F79" s="61"/>
      <c r="G79" s="61"/>
      <c r="H79" s="61"/>
      <c r="I79" s="61"/>
      <c r="J79" s="61"/>
      <c r="K79" s="61"/>
      <c r="L79" s="319"/>
      <c r="M79" s="319"/>
      <c r="N79" s="319"/>
      <c r="O79" s="319"/>
      <c r="P79" s="319"/>
      <c r="Q79" s="319"/>
    </row>
    <row r="80" spans="1:18" ht="15.65" hidden="1" customHeight="1">
      <c r="A80" s="51"/>
      <c r="B80" s="350"/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50"/>
      <c r="N80" s="350"/>
      <c r="O80" s="350"/>
      <c r="P80" s="350"/>
      <c r="Q80" s="350"/>
      <c r="R80" s="98"/>
    </row>
    <row r="81" spans="1:18" ht="15.65" hidden="1" customHeight="1">
      <c r="A81" s="51"/>
      <c r="B81" s="350"/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98"/>
    </row>
    <row r="82" spans="1:18" ht="15.65" hidden="1" customHeight="1">
      <c r="A82" s="51"/>
      <c r="B82" s="350"/>
      <c r="C82" s="350"/>
      <c r="D82" s="350"/>
      <c r="E82" s="350"/>
      <c r="F82" s="350"/>
      <c r="G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98"/>
    </row>
    <row r="83" spans="1:18" ht="15.65" hidden="1" customHeight="1"/>
  </sheetData>
  <sheetProtection password="FC12" sheet="1" objects="1" scenarios="1"/>
  <mergeCells count="134">
    <mergeCell ref="C16:O16"/>
    <mergeCell ref="C17:O17"/>
    <mergeCell ref="B18:B34"/>
    <mergeCell ref="C18:Q18"/>
    <mergeCell ref="C53:E53"/>
    <mergeCell ref="F53:G53"/>
    <mergeCell ref="H53:J53"/>
    <mergeCell ref="L53:N53"/>
    <mergeCell ref="C34:O34"/>
    <mergeCell ref="C45:O45"/>
    <mergeCell ref="C46:O46"/>
    <mergeCell ref="C47:O47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D22:G22"/>
    <mergeCell ref="K22:M22"/>
    <mergeCell ref="D23:G23"/>
    <mergeCell ref="C4:O4"/>
    <mergeCell ref="C5:O5"/>
    <mergeCell ref="C6:O6"/>
    <mergeCell ref="B7:B9"/>
    <mergeCell ref="C7:L7"/>
    <mergeCell ref="M7:O7"/>
    <mergeCell ref="C14:O14"/>
    <mergeCell ref="C15:O15"/>
    <mergeCell ref="K11:L11"/>
    <mergeCell ref="M11:O11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B11:B13"/>
    <mergeCell ref="C11:J11"/>
    <mergeCell ref="K23:M23"/>
    <mergeCell ref="D24:G24"/>
    <mergeCell ref="K24:M24"/>
    <mergeCell ref="C31:O31"/>
    <mergeCell ref="C32:O32"/>
    <mergeCell ref="C33:O33"/>
    <mergeCell ref="D25:G25"/>
    <mergeCell ref="K25:M25"/>
    <mergeCell ref="D26:G26"/>
    <mergeCell ref="K26:M26"/>
    <mergeCell ref="D27:G27"/>
    <mergeCell ref="K27:M27"/>
    <mergeCell ref="D29:G29"/>
    <mergeCell ref="K29:M29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3:O43"/>
    <mergeCell ref="C44:O44"/>
    <mergeCell ref="L56:N56"/>
    <mergeCell ref="C50:E50"/>
    <mergeCell ref="F50:G50"/>
    <mergeCell ref="H50:J50"/>
    <mergeCell ref="L50:N50"/>
    <mergeCell ref="C51:E51"/>
    <mergeCell ref="F51:G51"/>
    <mergeCell ref="H51:J51"/>
    <mergeCell ref="L51:N51"/>
    <mergeCell ref="C55:E55"/>
    <mergeCell ref="F55:G55"/>
    <mergeCell ref="H55:J55"/>
    <mergeCell ref="L55:N55"/>
    <mergeCell ref="C54:E54"/>
    <mergeCell ref="F54:G54"/>
    <mergeCell ref="H54:J54"/>
    <mergeCell ref="L54:N54"/>
    <mergeCell ref="C63:O63"/>
    <mergeCell ref="B64:B65"/>
    <mergeCell ref="C64:E65"/>
    <mergeCell ref="F64:I64"/>
    <mergeCell ref="J64:K64"/>
    <mergeCell ref="M64:N64"/>
    <mergeCell ref="C57:O57"/>
    <mergeCell ref="C58:O58"/>
    <mergeCell ref="C59:O59"/>
    <mergeCell ref="C60:O60"/>
    <mergeCell ref="C61:O61"/>
    <mergeCell ref="C62:O62"/>
    <mergeCell ref="B48:B61"/>
    <mergeCell ref="C48:Q48"/>
    <mergeCell ref="C49:G49"/>
    <mergeCell ref="H49:K49"/>
    <mergeCell ref="L49:O49"/>
    <mergeCell ref="C52:E52"/>
    <mergeCell ref="F52:G52"/>
    <mergeCell ref="H52:J52"/>
    <mergeCell ref="L52:N52"/>
    <mergeCell ref="C56:E56"/>
    <mergeCell ref="F56:G56"/>
    <mergeCell ref="H56:J56"/>
    <mergeCell ref="B80:Q82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</mergeCells>
  <pageMargins left="0.53" right="0.42" top="0.18" bottom="0.28000000000000003" header="0.3" footer="0.26"/>
  <pageSetup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theme="1"/>
  </sheetPr>
  <dimension ref="A1:J24"/>
  <sheetViews>
    <sheetView showGridLines="0" workbookViewId="0">
      <selection activeCell="K6" sqref="K6"/>
    </sheetView>
  </sheetViews>
  <sheetFormatPr defaultRowHeight="12.5"/>
  <cols>
    <col min="1" max="1" width="3.1796875" customWidth="1"/>
    <col min="2" max="2" width="9.54296875" customWidth="1"/>
    <col min="3" max="3" width="7.1796875" customWidth="1"/>
    <col min="4" max="4" width="11.1796875" customWidth="1"/>
    <col min="5" max="5" width="9.1796875" customWidth="1"/>
    <col min="9" max="9" width="18.81640625" customWidth="1"/>
    <col min="10" max="10" width="25.90625" customWidth="1"/>
  </cols>
  <sheetData>
    <row r="1" spans="1:10" ht="21.5" customHeight="1">
      <c r="A1" s="462" t="s">
        <v>220</v>
      </c>
      <c r="B1" s="463"/>
      <c r="C1" s="463"/>
      <c r="D1" s="463"/>
      <c r="E1" s="463"/>
      <c r="F1" s="463"/>
      <c r="G1" s="463"/>
      <c r="H1" s="463"/>
      <c r="I1" s="463"/>
      <c r="J1" s="464"/>
    </row>
    <row r="2" spans="1:10" ht="5" customHeight="1">
      <c r="A2" s="124"/>
      <c r="B2" s="117"/>
      <c r="C2" s="117"/>
      <c r="D2" s="117"/>
      <c r="E2" s="117"/>
      <c r="F2" s="117"/>
      <c r="G2" s="117"/>
      <c r="H2" s="117"/>
      <c r="I2" s="117"/>
      <c r="J2" s="125"/>
    </row>
    <row r="3" spans="1:10" ht="21.5" customHeight="1" thickBot="1">
      <c r="A3" s="465" t="s">
        <v>221</v>
      </c>
      <c r="B3" s="466"/>
      <c r="C3" s="466"/>
      <c r="D3" s="466"/>
      <c r="E3" s="466"/>
      <c r="F3" s="466"/>
      <c r="G3" s="466"/>
      <c r="H3" s="466"/>
      <c r="I3" s="466"/>
      <c r="J3" s="467"/>
    </row>
    <row r="4" spans="1:10" ht="21.5" customHeight="1">
      <c r="A4" s="132"/>
      <c r="B4" s="133"/>
      <c r="C4" s="133"/>
      <c r="D4" s="133"/>
      <c r="E4" s="133"/>
      <c r="F4" s="133"/>
      <c r="G4" s="133"/>
      <c r="H4" s="133"/>
      <c r="I4" s="133"/>
      <c r="J4" s="134"/>
    </row>
    <row r="5" spans="1:10" ht="21.5" customHeight="1">
      <c r="A5" s="124"/>
      <c r="B5" s="117"/>
      <c r="C5" s="117"/>
      <c r="D5" s="117"/>
      <c r="E5" s="117"/>
      <c r="F5" s="117"/>
      <c r="G5" s="117"/>
      <c r="H5" s="117"/>
      <c r="I5" s="191" t="s">
        <v>222</v>
      </c>
      <c r="J5" s="136" t="s">
        <v>235</v>
      </c>
    </row>
    <row r="6" spans="1:10" ht="21.5" customHeight="1">
      <c r="A6" s="124"/>
      <c r="B6" s="117"/>
      <c r="C6" s="117"/>
      <c r="D6" s="117"/>
      <c r="E6" s="117"/>
      <c r="F6" s="117"/>
      <c r="G6" s="117"/>
      <c r="H6" s="117"/>
      <c r="I6" s="117"/>
      <c r="J6" s="125"/>
    </row>
    <row r="7" spans="1:10" ht="29.5" customHeight="1">
      <c r="A7" s="126"/>
      <c r="B7" s="118" t="s">
        <v>225</v>
      </c>
      <c r="C7" s="118"/>
      <c r="D7" s="118"/>
      <c r="E7" s="118"/>
      <c r="F7" s="118"/>
      <c r="G7" s="118"/>
      <c r="H7" s="118"/>
      <c r="I7" s="118"/>
      <c r="J7" s="127"/>
    </row>
    <row r="8" spans="1:10" ht="29.5" customHeight="1">
      <c r="A8" s="126"/>
      <c r="B8" s="118"/>
      <c r="C8" s="468" t="s">
        <v>226</v>
      </c>
      <c r="D8" s="468"/>
      <c r="E8" s="468"/>
      <c r="F8" s="468"/>
      <c r="G8" s="469" t="str">
        <f>'Master Data'!D10</f>
        <v>PARMANAND MEGHWAL</v>
      </c>
      <c r="H8" s="469"/>
      <c r="I8" s="469"/>
      <c r="J8" s="135" t="str">
        <f>'Master Data'!O10</f>
        <v>SENIOR TEACHER</v>
      </c>
    </row>
    <row r="9" spans="1:10" ht="29.5" customHeight="1" thickBot="1">
      <c r="A9" s="126"/>
      <c r="B9" s="118" t="s">
        <v>227</v>
      </c>
      <c r="C9" s="470" t="str">
        <f>'Master Data'!C8:AE8</f>
        <v>GOVT SR. SEC SCHOOL DILOD HATHI, ATRU BARAN</v>
      </c>
      <c r="D9" s="470"/>
      <c r="E9" s="470"/>
      <c r="F9" s="470"/>
      <c r="G9" s="470"/>
      <c r="H9" s="470"/>
      <c r="I9" s="470"/>
      <c r="J9" s="471"/>
    </row>
    <row r="10" spans="1:10" ht="29.5" customHeight="1" thickBot="1">
      <c r="A10" s="126"/>
      <c r="B10" s="190" t="s">
        <v>223</v>
      </c>
      <c r="C10" s="123" t="s">
        <v>228</v>
      </c>
      <c r="D10" s="137">
        <f>'Other Deduction'!F17</f>
        <v>212611</v>
      </c>
      <c r="E10" s="118"/>
      <c r="F10" s="454" t="s">
        <v>241</v>
      </c>
      <c r="G10" s="455"/>
      <c r="H10" s="455"/>
      <c r="I10" s="455"/>
      <c r="J10" s="192" t="s">
        <v>229</v>
      </c>
    </row>
    <row r="11" spans="1:10" ht="29.5" customHeight="1">
      <c r="A11" s="126"/>
      <c r="B11" s="453" t="s">
        <v>230</v>
      </c>
      <c r="C11" s="453"/>
      <c r="D11" s="453"/>
      <c r="E11" s="131">
        <f>D10/12</f>
        <v>17717.583333333332</v>
      </c>
      <c r="F11" s="454" t="s">
        <v>241</v>
      </c>
      <c r="G11" s="455"/>
      <c r="H11" s="455"/>
      <c r="I11" s="455"/>
      <c r="J11" s="192" t="s">
        <v>229</v>
      </c>
    </row>
    <row r="12" spans="1:10" ht="29.5" customHeight="1">
      <c r="A12" s="126"/>
      <c r="B12" s="470" t="s">
        <v>232</v>
      </c>
      <c r="C12" s="470"/>
      <c r="D12" s="470" t="s">
        <v>231</v>
      </c>
      <c r="E12" s="470"/>
      <c r="F12" s="470"/>
      <c r="G12" s="190"/>
      <c r="H12" s="190"/>
      <c r="I12" s="190"/>
      <c r="J12" s="127"/>
    </row>
    <row r="13" spans="1:10" ht="29.5" customHeight="1">
      <c r="A13" s="126"/>
      <c r="B13" s="118"/>
      <c r="C13" s="118"/>
      <c r="D13" s="118"/>
      <c r="E13" s="118"/>
      <c r="F13" s="118"/>
      <c r="G13" s="118"/>
      <c r="H13" s="118"/>
      <c r="I13" s="118"/>
      <c r="J13" s="127"/>
    </row>
    <row r="14" spans="1:10" ht="29.5" customHeight="1">
      <c r="A14" s="128"/>
      <c r="B14" s="118" t="s">
        <v>233</v>
      </c>
      <c r="C14" s="460">
        <f>D10</f>
        <v>212611</v>
      </c>
      <c r="D14" s="460"/>
      <c r="E14" s="118"/>
      <c r="F14" s="118"/>
      <c r="G14" s="118"/>
      <c r="H14" s="118"/>
      <c r="I14" s="118"/>
      <c r="J14" s="127"/>
    </row>
    <row r="15" spans="1:10" ht="29.5" customHeight="1">
      <c r="A15" s="124"/>
      <c r="B15" s="117"/>
      <c r="C15" s="117"/>
      <c r="D15" s="117"/>
      <c r="E15" s="117"/>
      <c r="F15" s="117"/>
      <c r="G15" s="117"/>
      <c r="H15" s="117"/>
      <c r="I15" s="117"/>
      <c r="J15" s="125"/>
    </row>
    <row r="16" spans="1:10" ht="29.5" customHeight="1">
      <c r="A16" s="124"/>
      <c r="B16" s="119" t="s">
        <v>234</v>
      </c>
      <c r="C16" s="461" t="str">
        <f>J5</f>
        <v>11.12.2020</v>
      </c>
      <c r="D16" s="461"/>
      <c r="E16" s="120"/>
      <c r="F16" s="117"/>
      <c r="G16" s="117"/>
      <c r="H16" s="117"/>
      <c r="I16" s="121"/>
      <c r="J16" s="125"/>
    </row>
    <row r="17" spans="1:10" ht="29.5" customHeight="1">
      <c r="A17" s="124"/>
      <c r="B17" s="117"/>
      <c r="C17" s="117"/>
      <c r="D17" s="122"/>
      <c r="E17" s="122"/>
      <c r="F17" s="122"/>
      <c r="G17" s="117"/>
      <c r="H17" s="117"/>
      <c r="I17" s="117"/>
      <c r="J17" s="125"/>
    </row>
    <row r="18" spans="1:10" ht="29.5" customHeight="1">
      <c r="A18" s="124"/>
      <c r="B18" s="117"/>
      <c r="C18" s="117"/>
      <c r="D18" s="117"/>
      <c r="E18" s="117"/>
      <c r="F18" s="117"/>
      <c r="G18" s="117"/>
      <c r="H18" s="453" t="s">
        <v>224</v>
      </c>
      <c r="I18" s="453"/>
      <c r="J18" s="474"/>
    </row>
    <row r="19" spans="1:10" ht="34" customHeight="1">
      <c r="A19" s="124"/>
      <c r="B19" s="117"/>
      <c r="C19" s="117"/>
      <c r="D19" s="117"/>
      <c r="E19" s="117"/>
      <c r="F19" s="117"/>
      <c r="G19" s="117"/>
      <c r="H19" s="472" t="s">
        <v>236</v>
      </c>
      <c r="I19" s="472"/>
      <c r="J19" s="473"/>
    </row>
    <row r="20" spans="1:10" ht="34" customHeight="1">
      <c r="A20" s="124"/>
      <c r="B20" s="117"/>
      <c r="C20" s="117"/>
      <c r="D20" s="117"/>
      <c r="E20" s="117"/>
      <c r="F20" s="117"/>
      <c r="G20" s="117"/>
      <c r="H20" s="472"/>
      <c r="I20" s="472"/>
      <c r="J20" s="473"/>
    </row>
    <row r="21" spans="1:10" ht="17.5" customHeight="1">
      <c r="A21" s="124"/>
      <c r="B21" s="117"/>
      <c r="C21" s="117"/>
      <c r="D21" s="117"/>
      <c r="E21" s="117"/>
      <c r="F21" s="117"/>
      <c r="G21" s="117"/>
      <c r="H21" s="456"/>
      <c r="I21" s="456"/>
      <c r="J21" s="457"/>
    </row>
    <row r="22" spans="1:10" ht="18.5" customHeight="1">
      <c r="A22" s="124"/>
      <c r="B22" s="117"/>
      <c r="C22" s="117"/>
      <c r="D22" s="117"/>
      <c r="E22" s="117"/>
      <c r="F22" s="117"/>
      <c r="G22" s="117"/>
      <c r="H22" s="456"/>
      <c r="I22" s="456"/>
      <c r="J22" s="457"/>
    </row>
    <row r="23" spans="1:10" ht="19.5" customHeight="1">
      <c r="A23" s="124"/>
      <c r="B23" s="117"/>
      <c r="C23" s="117"/>
      <c r="D23" s="117"/>
      <c r="E23" s="117"/>
      <c r="F23" s="117"/>
      <c r="G23" s="117"/>
      <c r="H23" s="456"/>
      <c r="I23" s="456"/>
      <c r="J23" s="457"/>
    </row>
    <row r="24" spans="1:10" ht="18" customHeight="1" thickBot="1">
      <c r="A24" s="129"/>
      <c r="B24" s="130"/>
      <c r="C24" s="130"/>
      <c r="D24" s="130"/>
      <c r="E24" s="130"/>
      <c r="F24" s="130"/>
      <c r="G24" s="130"/>
      <c r="H24" s="458"/>
      <c r="I24" s="458"/>
      <c r="J24" s="459"/>
    </row>
  </sheetData>
  <sheetProtection password="FC12" sheet="1" objects="1" scenarios="1"/>
  <mergeCells count="17">
    <mergeCell ref="F10:I10"/>
    <mergeCell ref="H19:J19"/>
    <mergeCell ref="H20:J20"/>
    <mergeCell ref="H21:J22"/>
    <mergeCell ref="B12:C12"/>
    <mergeCell ref="H18:J18"/>
    <mergeCell ref="D12:F12"/>
    <mergeCell ref="A1:J1"/>
    <mergeCell ref="A3:J3"/>
    <mergeCell ref="C8:F8"/>
    <mergeCell ref="G8:I8"/>
    <mergeCell ref="C9:J9"/>
    <mergeCell ref="B11:D11"/>
    <mergeCell ref="F11:I11"/>
    <mergeCell ref="H23:J24"/>
    <mergeCell ref="C14:D14"/>
    <mergeCell ref="C16:D16"/>
  </mergeCells>
  <pageMargins left="0.7" right="0.7" top="0.45" bottom="0.75" header="0.3" footer="0.3"/>
  <pageSetup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Master Data</vt:lpstr>
      <vt:lpstr>Other Deduction</vt:lpstr>
      <vt:lpstr>Tax Calculation (Old)</vt:lpstr>
      <vt:lpstr>Tax Calculation (New)</vt:lpstr>
      <vt:lpstr>HRA Receipt</vt:lpstr>
      <vt:lpstr>All_India_Service</vt:lpstr>
      <vt:lpstr>L_1</vt:lpstr>
      <vt:lpstr>'HRA Receipt'!Print_Area</vt:lpstr>
      <vt:lpstr>'Master Data'!Print_Area</vt:lpstr>
      <vt:lpstr>'Tax Calculation (New)'!Print_Area</vt:lpstr>
      <vt:lpstr>'Tax Calculation (Old)'!Print_Area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2020-12-18T09:21:13Z</cp:lastPrinted>
  <dcterms:created xsi:type="dcterms:W3CDTF">2013-12-06T08:14:36Z</dcterms:created>
  <dcterms:modified xsi:type="dcterms:W3CDTF">2020-12-20T16:00:06Z</dcterms:modified>
</cp:coreProperties>
</file>