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30228"/>
  <workbookPr defaultThemeVersion="153222"/>
  <bookViews>
    <workbookView xWindow="-120" yWindow="-120" windowWidth="20730" windowHeight="11040" activeTab="5"/>
  </bookViews>
  <sheets>
    <sheet name="GUIDANCE" sheetId="7" r:id="rId1"/>
    <sheet name="DATA ENTRY" sheetId="4" r:id="rId2"/>
    <sheet name="DAILY REGESTER" sheetId="3" r:id="rId3"/>
    <sheet name="Sheet2" sheetId="5" r:id="rId4" state="hidden"/>
    <sheet name="ASTMITED BILL" sheetId="6" r:id="rId5"/>
    <sheet name="UNLOCK BILL" sheetId="9" r:id="rId6"/>
  </sheets>
  <definedNames>
    <definedName name="_xlnm._FilterDatabase" localSheetId="2" hidden="1">'DAILY REGESTER'!$P$1:$Z$37</definedName>
    <definedName name="_xlnm.Print_Area" localSheetId="4">'ASTMITED BILL'!$A$1:$Z$34</definedName>
    <definedName name="_xlnm.Print_Area" localSheetId="2">'DAILY REGESTER'!$A$1:$O$35</definedName>
    <definedName name="_xlnm.Print_Area" localSheetId="5">'UNLOCK BILL'!$A$3:$AC$38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<sst xmlns="http://schemas.openxmlformats.org/spreadsheetml/2006/main" uniqueCount="121" count="121">
  <si>
    <t xml:space="preserve">कक्षा 1 से 5 तक </t>
  </si>
  <si>
    <t xml:space="preserve">कक्षा 6 से 8 तक  </t>
  </si>
  <si>
    <t xml:space="preserve">MDM से लाभान्वित </t>
  </si>
  <si>
    <t xml:space="preserve">प्राम्भिक शेष </t>
  </si>
  <si>
    <t xml:space="preserve">पो. सप्लायर से प्राप्त </t>
  </si>
  <si>
    <t xml:space="preserve">व्यय </t>
  </si>
  <si>
    <t xml:space="preserve">अंतिम शेष </t>
  </si>
  <si>
    <t xml:space="preserve">गेंहू का विवरण </t>
  </si>
  <si>
    <t xml:space="preserve">चावल  का विवरण </t>
  </si>
  <si>
    <t xml:space="preserve">उपयोग में लिया गया खाद्यान्न </t>
  </si>
  <si>
    <t xml:space="preserve">दिनांक </t>
  </si>
  <si>
    <t>गेहूं</t>
  </si>
  <si>
    <t xml:space="preserve">चावल </t>
  </si>
  <si>
    <t xml:space="preserve">योग </t>
  </si>
  <si>
    <t xml:space="preserve">कुल योग </t>
  </si>
  <si>
    <t>lCth 6 ls 8</t>
  </si>
  <si>
    <t>nky 6 ls 8</t>
  </si>
  <si>
    <t>lCth 1 ls 5</t>
  </si>
  <si>
    <t>nky 1ls 5</t>
  </si>
  <si>
    <t>dqy nky</t>
  </si>
  <si>
    <t>dqy lCth</t>
  </si>
  <si>
    <t>fo|ky; dk uke%&amp;</t>
  </si>
  <si>
    <t>iks"kkgkj izHkkjh dk uke%&amp;</t>
  </si>
  <si>
    <t>lgk;d izHkkjh dk uke%&amp;</t>
  </si>
  <si>
    <t>lquhy dqekj egkoj</t>
  </si>
  <si>
    <t>ekg dk uke%&amp;</t>
  </si>
  <si>
    <t xml:space="preserve">izkFkfed </t>
  </si>
  <si>
    <t>mPp izkFkfed</t>
  </si>
  <si>
    <t xml:space="preserve">ekfld [kk|kUu forj.k ,oa LVkWd fooj.k </t>
  </si>
  <si>
    <t xml:space="preserve">[kk|kUu fooj.k </t>
  </si>
  <si>
    <t xml:space="preserve">xsgwa dk fooj.k </t>
  </si>
  <si>
    <t>pkoy dk fooj.k</t>
  </si>
  <si>
    <t>O;; jkf'k</t>
  </si>
  <si>
    <t>izkjafHkd 'ks"k</t>
  </si>
  <si>
    <t xml:space="preserve">izkIr </t>
  </si>
  <si>
    <t>;ksx</t>
  </si>
  <si>
    <t>O;;</t>
  </si>
  <si>
    <t>vafre 'ks"k</t>
  </si>
  <si>
    <t xml:space="preserve">ykHkkfUor Nk= </t>
  </si>
  <si>
    <t>1 ls 5</t>
  </si>
  <si>
    <t>6 ls 8</t>
  </si>
  <si>
    <t xml:space="preserve">dqy ;ksx </t>
  </si>
  <si>
    <t xml:space="preserve">fdjk.kk lkexzh fcy </t>
  </si>
  <si>
    <t>lkexzh dk uke</t>
  </si>
  <si>
    <t>ek=k</t>
  </si>
  <si>
    <t>nj</t>
  </si>
  <si>
    <t>jkf'k</t>
  </si>
  <si>
    <t>dz- la-</t>
  </si>
  <si>
    <t>eawx nky</t>
  </si>
  <si>
    <t>puk nky</t>
  </si>
  <si>
    <t>mM+n nky</t>
  </si>
  <si>
    <t>rsy</t>
  </si>
  <si>
    <t>fefpZ</t>
  </si>
  <si>
    <t>/kfu;k</t>
  </si>
  <si>
    <t xml:space="preserve">gYnh </t>
  </si>
  <si>
    <t>thjk</t>
  </si>
  <si>
    <t>ued</t>
  </si>
  <si>
    <t xml:space="preserve">;ksx </t>
  </si>
  <si>
    <t>xSl¼bZ/ku½ lkexzh</t>
  </si>
  <si>
    <t>xSl fjfQfyax</t>
  </si>
  <si>
    <t>fnukad</t>
  </si>
  <si>
    <t xml:space="preserve">lCth fcy </t>
  </si>
  <si>
    <t xml:space="preserve">QYk fcy </t>
  </si>
  <si>
    <t>filkbZ jkf'k</t>
  </si>
  <si>
    <t>xsgw¡ filkbZ</t>
  </si>
  <si>
    <t>ek=k fd-xzk-</t>
  </si>
  <si>
    <t>Qy</t>
  </si>
  <si>
    <t xml:space="preserve">lCth </t>
  </si>
  <si>
    <t>bZ/ku</t>
  </si>
  <si>
    <t>filkbZ</t>
  </si>
  <si>
    <t>jkf'k dk vUrj</t>
  </si>
  <si>
    <t>dqy Lohd`r jkf'k</t>
  </si>
  <si>
    <t>dqy O;; jkf'k</t>
  </si>
  <si>
    <t>eqds'k dqekj ehuk</t>
  </si>
  <si>
    <t>vuqekfur fcy jkf'k dk ;ksx</t>
  </si>
  <si>
    <t xml:space="preserve">fdjk.kk </t>
  </si>
  <si>
    <t xml:space="preserve">xsgwa dk fooj.k fdxzk- </t>
  </si>
  <si>
    <t>pkoy dk fooj.k fdxzk-</t>
  </si>
  <si>
    <t>iz/kkuk/;kid dk uke%&amp;</t>
  </si>
  <si>
    <t>eksckbZy uEcj%&amp;</t>
  </si>
  <si>
    <t>nj izfr Nk=%&amp;</t>
  </si>
  <si>
    <t>%&amp;'khV fuekZ.k drkZ%&amp;</t>
  </si>
  <si>
    <t>dsoy ihys lsy HkjsaA</t>
  </si>
  <si>
    <t>jsM lsy jfookj ds gS vr% 0 HkjsaA</t>
  </si>
  <si>
    <t>ekfpl</t>
  </si>
  <si>
    <t>lkcqu</t>
  </si>
  <si>
    <t>vU; lkexzh jkf'k</t>
  </si>
  <si>
    <t>I;kt</t>
  </si>
  <si>
    <t>yglqu</t>
  </si>
  <si>
    <t>vU;</t>
  </si>
  <si>
    <t>dz-la-</t>
  </si>
  <si>
    <r>
      <t xml:space="preserve">lquhy dqekj egkoj </t>
    </r>
    <r>
      <rPr>
        <b/>
        <i/>
        <sz val="14"/>
        <color rgb="FFFFFF00"/>
        <rFont val="Kruti Dev 010"/>
      </rPr>
      <t>v- jkmekfo ohj/kksfy;k</t>
    </r>
  </si>
  <si>
    <t>&amp;%mi;ksx gsrq fn'kk funsZ'k%&amp;</t>
  </si>
  <si>
    <t>loZ izFke d`frnso 010 QkWUV bUlVkWy djsaA</t>
  </si>
  <si>
    <t>MkVk ,UVªh 'khV ds dsoy ihys lsy HkjsaA</t>
  </si>
  <si>
    <t xml:space="preserve">,e-Mh-,e- 'khV esa dsoy izkFkfed ,oa mPp izkFkfed ykHkkfUor cPpksa dh la[;k ihys lsy esa Hkjsa ,oa mi;ksx esa fy;s x;s [kk|kUu esa xsag¡w ;k pkoy lysDV djsaA </t>
  </si>
  <si>
    <t>Qy okys fcy esa ekg esa vkus okys eaxyokj dh fnukad fn[kkbZ nsxh vko';drkuqlkj cny ldrs gSaA</t>
  </si>
  <si>
    <t>;g 'khV dsoy vuqeku ds fy;s gSA</t>
  </si>
  <si>
    <t>'khV rS;kj djus esa iwjh lko/kkuh cjrh xbZ gS fQj Hkh dksbZ folaxrh jgrh gS rks foHkkxh; fn'kkfunsZ'k gh ekU; gkxsa] 'khV rS;kj drkZ dh dksbZ ftEesnkjh ugha gksxhA</t>
  </si>
  <si>
    <t>lq&gt;ko@lq/kkj gsrq laidZ djsaA</t>
  </si>
  <si>
    <t>a</t>
  </si>
  <si>
    <t xml:space="preserve">         </t>
  </si>
  <si>
    <t xml:space="preserve">Jherh lqfe=k lksuh </t>
  </si>
  <si>
    <t>mi;ksx esa yh xbZ ek=k</t>
  </si>
  <si>
    <t>'ks"k ek=k</t>
  </si>
  <si>
    <t xml:space="preserve">                    </t>
  </si>
  <si>
    <t>yksdh VekVj</t>
  </si>
  <si>
    <t>CkSaxu] VekVj</t>
  </si>
  <si>
    <t>rqjbZ] VekVj</t>
  </si>
  <si>
    <t>ikyd] VekVj</t>
  </si>
  <si>
    <t>iRrkxksHkh] vkyw] VekVj</t>
  </si>
  <si>
    <t>Xokj Qyh</t>
  </si>
  <si>
    <t>VekVj] fefpZ</t>
  </si>
  <si>
    <t>vkyw] iRrkxksHkh] VekVj</t>
  </si>
  <si>
    <t>vkyw] VekVj</t>
  </si>
  <si>
    <t>gjs I;kt] vkyw</t>
  </si>
  <si>
    <t>cSaxu] VekVj] vkyw</t>
  </si>
  <si>
    <t xml:space="preserve"> </t>
  </si>
  <si>
    <t>aaaaaagggggg</t>
  </si>
  <si>
    <t>ek=k jkmUM esa</t>
  </si>
  <si>
    <t>vuqekfur fcy okyh 'khV essa vko';drkuqlkj lkexzh dh nj fy[ksa] lCth]Qy dk uke fy[ksa] xSl [kpZ esa flys.Mj dh la[;k ntZ djsa o nj HkjsaA
fdjk.kk lkexzh esa ek=k jkmUM okys dkWye esa lkexzh dh ek=k dks ,fMV djus ds fy;s vuykWd j[kk x;k gS vr% ogka ls ek=k ,fMV dj ldrs gSA</t>
  </si>
</sst>
</file>

<file path=xl/styles.xml><?xml version="1.0" encoding="utf-8"?>
<styleSheet xmlns="http://schemas.openxmlformats.org/spreadsheetml/2006/main">
  <numFmts count="10">
    <numFmt numFmtId="0" formatCode="General"/>
    <numFmt numFmtId="167" formatCode="mmmm\ yyyy"/>
    <numFmt numFmtId="165" formatCode="[$₹-449]\ #,##0.00"/>
    <numFmt numFmtId="164" formatCode="0.000"/>
    <numFmt numFmtId="3" formatCode="#,##0"/>
    <numFmt numFmtId="15" formatCode="d-mmm-yy"/>
    <numFmt numFmtId="1" formatCode="0"/>
    <numFmt numFmtId="14" formatCode="m/d/yyyy"/>
    <numFmt numFmtId="168" formatCode="[$₹-4009]\ #,##0"/>
    <numFmt numFmtId="166" formatCode="dd/mm/yyyy"/>
  </numFmts>
  <fonts count="40">
    <font>
      <name val="Calibri"/>
      <sz val="11"/>
    </font>
    <font>
      <name val="Kruti Dev 010"/>
      <sz val="14"/>
      <color rgb="FF000000"/>
    </font>
    <font>
      <name val="Kruti Dev 010"/>
      <b/>
      <sz val="18"/>
      <color rgb="FF000000"/>
    </font>
    <font>
      <name val="Kruti Dev 010"/>
      <b/>
      <sz val="20"/>
      <color rgb="FF000000"/>
    </font>
    <font>
      <name val="Kruti Dev 010"/>
      <b/>
      <sz val="18"/>
    </font>
    <font>
      <name val="Calibri"/>
      <sz val="11"/>
      <color rgb="FF000000"/>
    </font>
    <font>
      <name val="Kruti Dev 010"/>
      <sz val="11"/>
      <color rgb="FF000000"/>
    </font>
    <font>
      <name val="Kruti Dev 010"/>
      <b/>
      <sz val="14"/>
      <color rgb="FF000000"/>
    </font>
    <font>
      <name val="Times New Roman"/>
      <b/>
      <sz val="14"/>
      <color rgb="FF000000"/>
    </font>
    <font>
      <name val="Kruti Dev 010"/>
      <b/>
      <sz val="20"/>
      <color rgb="FFFFFF00"/>
    </font>
    <font>
      <name val="Times New Roman"/>
      <b/>
      <sz val="11"/>
      <color rgb="FF000000"/>
    </font>
    <font>
      <name val="Kruti Dev 010"/>
      <b/>
      <i/>
      <u/>
      <sz val="14"/>
      <color rgb="FFFFFF00"/>
    </font>
    <font>
      <name val="Kruti Dev 010"/>
      <b/>
      <sz val="14"/>
      <color rgb="FF00B0F0"/>
    </font>
    <font>
      <name val="Kruti Dev 010"/>
      <b/>
      <sz val="16"/>
      <color rgb="FF000000"/>
    </font>
    <font>
      <name val="Kruti Dev 010"/>
      <b/>
      <sz val="13"/>
      <color rgb="FF000000"/>
    </font>
    <font>
      <name val="Kruti Dev 010"/>
      <b/>
      <sz val="12"/>
      <color rgb="FF000000"/>
    </font>
    <font>
      <name val="Times New Roman"/>
      <b/>
      <sz val="12"/>
      <color rgb="FF000000"/>
    </font>
    <font>
      <name val="Kruti Dev 010"/>
      <b/>
      <sz val="11"/>
      <color rgb="FF000000"/>
    </font>
    <font>
      <name val="Kruti Dev 010"/>
      <sz val="13"/>
      <color rgb="FF000000"/>
    </font>
    <font>
      <name val="Times New Roman"/>
      <sz val="13"/>
      <color rgb="FF000000"/>
    </font>
    <font>
      <name val="Times New Roman"/>
      <sz val="11"/>
      <color rgb="FF000000"/>
    </font>
    <font>
      <name val="Times New Roman"/>
      <sz val="11"/>
      <color rgb="FFFF0000"/>
    </font>
    <font>
      <name val="Times New Roman"/>
      <b/>
      <sz val="18"/>
      <color rgb="FF000000"/>
    </font>
    <font>
      <name val="Times New Roman"/>
      <b/>
      <sz val="10"/>
      <color rgb="FF000000"/>
    </font>
    <font>
      <name val="Kruti Dev 010"/>
      <b/>
      <sz val="25"/>
      <color rgb="FFFFFF00"/>
    </font>
    <font>
      <name val="Times New Roman"/>
      <b/>
      <sz val="12"/>
      <color rgb="FFFF0000"/>
    </font>
    <font>
      <name val="Times New Roman"/>
      <sz val="12"/>
      <color rgb="FF000000"/>
    </font>
    <font>
      <name val="Times New Roman"/>
      <charset val="134"/>
      <sz val="12"/>
      <color rgb="FF000000"/>
    </font>
    <font>
      <name val="Times New Roman"/>
      <sz val="12"/>
      <color rgb="FFFF0000"/>
    </font>
    <font>
      <name val="Times New Roman"/>
      <b/>
      <sz val="11"/>
      <color rgb="FFFF0000"/>
    </font>
    <font>
      <name val="Kruti Dev 010"/>
      <b/>
      <sz val="11"/>
      <color rgb="FFFF0000"/>
    </font>
    <font>
      <name val="Calibri"/>
      <sz val="14"/>
      <color rgb="FF000000"/>
    </font>
    <font>
      <name val="Times New Roman"/>
      <sz val="14"/>
      <color rgb="FF000000"/>
    </font>
    <font>
      <name val="Kruti Dev 010"/>
      <sz val="14"/>
      <color rgb="FFFFF2CC"/>
    </font>
    <font>
      <name val="Kruti Dev 010"/>
      <b/>
      <sz val="14"/>
      <color rgb="FFFFF2CC"/>
    </font>
    <font>
      <name val="Times New Roman"/>
      <b/>
      <sz val="14"/>
      <color rgb="FFFFF2CC"/>
    </font>
    <font>
      <name val="Kruti Dev 010"/>
      <b/>
      <sz val="14"/>
      <color rgb="FFFFFFFF"/>
    </font>
    <font>
      <name val="Kruti Dev 010"/>
      <sz val="14"/>
      <color rgb="FFFFFFFF"/>
    </font>
    <font>
      <name val="Times New Roman"/>
      <b/>
      <sz val="14"/>
      <color rgb="FFFFFFFF"/>
    </font>
    <font>
      <name val="Times New Roman"/>
      <sz val="14"/>
      <color rgb="FFFFFFFF"/>
    </font>
  </fonts>
  <fills count="2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6161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30549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  <xf numFmtId="0" fontId="2" fillId="4" borderId="0" xfId="0" applyFont="1" applyFill="1" applyAlignment="1">
      <alignment horizontal="center" vertical="bottom"/>
    </xf>
    <xf numFmtId="0" fontId="3" fillId="5" borderId="0" xfId="0" applyFont="1" applyFill="1" applyAlignment="1">
      <alignment horizontal="center" vertical="bottom"/>
    </xf>
    <xf numFmtId="0" fontId="2" fillId="6" borderId="1" xfId="0" applyFont="1" applyFill="1" applyBorder="1" applyAlignment="1">
      <alignment vertical="bottom"/>
    </xf>
    <xf numFmtId="0" fontId="2" fillId="6" borderId="1" xfId="0" applyFont="1" applyFill="1" applyBorder="1" applyAlignment="1">
      <alignment horizontal="left" vertical="bottom"/>
    </xf>
    <xf numFmtId="0" fontId="2" fillId="7" borderId="1" xfId="0" applyFont="1" applyFill="1" applyBorder="1" applyAlignment="1">
      <alignment vertical="bottom"/>
    </xf>
    <xf numFmtId="0" fontId="2" fillId="7" borderId="1" xfId="0" applyFont="1" applyFill="1" applyBorder="1" applyAlignment="1">
      <alignment horizontal="left" vertical="bottom"/>
    </xf>
    <xf numFmtId="0" fontId="2" fillId="6" borderId="1" xfId="0" applyFont="1" applyFill="1" applyBorder="1" applyAlignment="1">
      <alignment horizontal="left" vertical="bottom" wrapText="1"/>
    </xf>
    <xf numFmtId="0" fontId="2" fillId="7" borderId="1" xfId="0" applyFont="1" applyFill="1" applyBorder="1" applyAlignment="1">
      <alignment horizontal="left" vertical="top" wrapText="1"/>
    </xf>
    <xf numFmtId="0" fontId="4" fillId="8" borderId="2" xfId="0" applyFont="1" applyFill="1" applyBorder="1" applyAlignment="1" quotePrefix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bottom"/>
    </xf>
    <xf numFmtId="0" fontId="2" fillId="2" borderId="0" xfId="0" applyFont="1" applyFill="1" applyAlignment="1">
      <alignment horizontal="left" vertical="bottom"/>
    </xf>
    <xf numFmtId="0" fontId="5" fillId="9" borderId="0" xfId="0" applyFill="1" applyAlignment="1">
      <alignment vertical="bottom"/>
    </xf>
    <xf numFmtId="0" fontId="5" fillId="10" borderId="0" xfId="0" applyFill="1" applyAlignment="1">
      <alignment vertical="bottom"/>
    </xf>
    <xf numFmtId="0" fontId="6" fillId="9" borderId="0" xfId="0" applyFont="1" applyFill="1" applyAlignment="1">
      <alignment vertical="bottom"/>
    </xf>
    <xf numFmtId="0" fontId="6" fillId="10" borderId="0" xfId="0" applyFont="1" applyFill="1" applyAlignment="1">
      <alignment vertical="bottom"/>
    </xf>
    <xf numFmtId="0" fontId="7" fillId="11" borderId="1" xfId="0" applyFont="1" applyFill="1" applyBorder="1" applyAlignment="1">
      <alignment horizontal="right" vertical="bottom"/>
    </xf>
    <xf numFmtId="0" fontId="8" fillId="4" borderId="3" xfId="0" applyFont="1" applyFill="1" applyBorder="1" applyAlignment="1">
      <alignment horizontal="center" vertical="bottom"/>
      <protection locked="0" hidden="1"/>
    </xf>
    <xf numFmtId="0" fontId="8" fillId="4" borderId="4" xfId="0" applyFont="1" applyFill="1" applyBorder="1" applyAlignment="1">
      <alignment horizontal="center" vertical="bottom"/>
      <protection locked="0" hidden="1"/>
    </xf>
    <xf numFmtId="0" fontId="8" fillId="4" borderId="5" xfId="0" applyFont="1" applyFill="1" applyBorder="1" applyAlignment="1">
      <alignment horizontal="center" vertical="bottom"/>
      <protection locked="0" hidden="1"/>
    </xf>
    <xf numFmtId="0" fontId="9" fillId="12" borderId="0" xfId="0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bottom"/>
      <protection locked="0" hidden="1"/>
    </xf>
    <xf numFmtId="0" fontId="7" fillId="4" borderId="5" xfId="0" applyFont="1" applyFill="1" applyBorder="1" applyAlignment="1">
      <alignment horizontal="center" vertical="bottom"/>
      <protection locked="0" hidden="1"/>
    </xf>
    <xf numFmtId="0" fontId="7" fillId="11" borderId="3" xfId="0" applyFont="1" applyFill="1" applyBorder="1" applyAlignment="1">
      <alignment horizontal="right" vertical="bottom"/>
    </xf>
    <xf numFmtId="0" fontId="7" fillId="11" borderId="5" xfId="0" applyFont="1" applyFill="1" applyBorder="1" applyAlignment="1">
      <alignment horizontal="right" vertical="bottom"/>
    </xf>
    <xf numFmtId="0" fontId="7" fillId="4" borderId="3" xfId="0" applyFont="1" applyFill="1" applyBorder="1" applyAlignment="1">
      <alignment horizontal="center" vertical="bottom"/>
      <protection locked="0" hidden="0"/>
    </xf>
    <xf numFmtId="0" fontId="7" fillId="4" borderId="5" xfId="0" applyFont="1" applyFill="1" applyBorder="1" applyAlignment="1">
      <alignment horizontal="center" vertical="bottom"/>
      <protection locked="0" hidden="0"/>
    </xf>
    <xf numFmtId="0" fontId="7" fillId="11" borderId="0" xfId="0" applyFont="1" applyFill="1" applyAlignment="1">
      <alignment horizontal="right" vertical="bottom"/>
    </xf>
    <xf numFmtId="167" fontId="10" fillId="4" borderId="3" xfId="0" applyNumberFormat="1" applyFont="1" applyFill="1" applyBorder="1" applyAlignment="1">
      <alignment horizontal="center" vertical="bottom"/>
      <protection locked="0" hidden="1"/>
    </xf>
    <xf numFmtId="167" fontId="10" fillId="4" borderId="5" xfId="0" applyNumberFormat="1" applyFont="1" applyFill="1" applyBorder="1" applyAlignment="1">
      <alignment horizontal="center" vertical="bottom"/>
      <protection locked="0" hidden="1"/>
    </xf>
    <xf numFmtId="0" fontId="7" fillId="11" borderId="6" xfId="0" applyFont="1" applyFill="1" applyBorder="1" applyAlignment="1">
      <alignment horizontal="right" vertical="bottom"/>
    </xf>
    <xf numFmtId="0" fontId="7" fillId="11" borderId="7" xfId="0" applyFont="1" applyFill="1" applyBorder="1" applyAlignment="1">
      <alignment horizontal="right" vertical="bottom"/>
    </xf>
    <xf numFmtId="0" fontId="7" fillId="4" borderId="6" xfId="0" applyFont="1" applyFill="1" applyBorder="1" applyAlignment="1">
      <alignment horizontal="center" vertical="bottom"/>
      <protection locked="0" hidden="0"/>
    </xf>
    <xf numFmtId="0" fontId="7" fillId="4" borderId="7" xfId="0" applyFont="1" applyFill="1" applyBorder="1" applyAlignment="1">
      <alignment horizontal="center" vertical="bottom"/>
      <protection locked="0" hidden="0"/>
    </xf>
    <xf numFmtId="0" fontId="7" fillId="11" borderId="1" xfId="0" applyFont="1" applyFill="1" applyBorder="1" applyAlignment="1">
      <alignment horizontal="right" vertical="center"/>
    </xf>
    <xf numFmtId="0" fontId="7" fillId="11" borderId="1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bottom"/>
    </xf>
    <xf numFmtId="165" fontId="8" fillId="4" borderId="1" xfId="0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2" fillId="14" borderId="0" xfId="0" applyFont="1" applyFill="1" applyAlignment="1">
      <alignment horizontal="center" vertical="bottom"/>
    </xf>
    <xf numFmtId="0" fontId="13" fillId="15" borderId="0" xfId="0" applyFont="1" applyFill="1" applyAlignment="1">
      <alignment horizontal="center" vertical="bottom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bottom"/>
    </xf>
    <xf numFmtId="0" fontId="14" fillId="16" borderId="5" xfId="0" applyFont="1" applyFill="1" applyBorder="1" applyAlignment="1">
      <alignment horizontal="center" vertical="bottom"/>
    </xf>
    <xf numFmtId="0" fontId="14" fillId="16" borderId="1" xfId="0" applyFont="1" applyFill="1" applyBorder="1" applyAlignment="1">
      <alignment horizontal="center" vertical="bottom"/>
    </xf>
    <xf numFmtId="0" fontId="14" fillId="16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/>
      <protection locked="0" hidden="1"/>
    </xf>
    <xf numFmtId="0" fontId="17" fillId="16" borderId="1" xfId="0" applyFont="1" applyFill="1" applyBorder="1" applyAlignment="1">
      <alignment horizontal="center" vertical="center"/>
    </xf>
    <xf numFmtId="165" fontId="10" fillId="16" borderId="8" xfId="0" applyNumberFormat="1" applyFont="1" applyFill="1" applyBorder="1" applyAlignment="1">
      <alignment horizontal="center" vertical="center"/>
    </xf>
    <xf numFmtId="3" fontId="10" fillId="16" borderId="1" xfId="0" applyNumberFormat="1" applyFont="1" applyFill="1" applyBorder="1" applyAlignment="1">
      <alignment horizontal="center" vertical="center"/>
    </xf>
    <xf numFmtId="0" fontId="10" fillId="16" borderId="9" xfId="0" applyFont="1" applyFill="1" applyBorder="1" applyAlignment="1">
      <alignment horizontal="center" vertical="center"/>
    </xf>
    <xf numFmtId="164" fontId="16" fillId="16" borderId="1" xfId="0" applyNumberFormat="1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164" fontId="16" fillId="16" borderId="8" xfId="0" applyNumberFormat="1" applyFont="1" applyFill="1" applyBorder="1" applyAlignment="1">
      <alignment horizontal="center" vertical="center"/>
    </xf>
    <xf numFmtId="0" fontId="15" fillId="16" borderId="9" xfId="0" applyFont="1" applyFill="1" applyBorder="1" applyAlignment="1">
      <alignment horizontal="center" vertical="center"/>
    </xf>
    <xf numFmtId="164" fontId="16" fillId="16" borderId="9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vertical="bottom"/>
    </xf>
    <xf numFmtId="0" fontId="18" fillId="9" borderId="0" xfId="0" applyFont="1" applyFill="1" applyAlignment="1">
      <alignment vertical="bottom"/>
    </xf>
    <xf numFmtId="167" fontId="19" fillId="9" borderId="0" xfId="0" applyNumberFormat="1" applyFont="1" applyFill="1" applyAlignment="1">
      <alignment vertical="bottom"/>
    </xf>
    <xf numFmtId="0" fontId="19" fillId="9" borderId="0" xfId="0" applyFont="1" applyFill="1" applyAlignment="1">
      <alignment vertical="bottom"/>
    </xf>
    <xf numFmtId="0" fontId="20" fillId="0" borderId="0" xfId="0" applyFont="1" applyAlignment="1">
      <alignment vertical="bottom"/>
    </xf>
    <xf numFmtId="0" fontId="21" fillId="17" borderId="0" xfId="0" applyFont="1" applyFill="1" applyAlignment="1">
      <alignment vertical="bottom"/>
    </xf>
    <xf numFmtId="0" fontId="20" fillId="0" borderId="0" xfId="0" applyFont="1" applyAlignment="1">
      <alignment vertical="bottom" wrapText="1"/>
    </xf>
    <xf numFmtId="0" fontId="6" fillId="17" borderId="0" xfId="0" applyFont="1" applyFill="1" applyAlignment="1">
      <alignment vertical="bottom"/>
    </xf>
    <xf numFmtId="0" fontId="20" fillId="17" borderId="0" xfId="0" applyFont="1" applyFill="1" applyAlignment="1">
      <alignment vertical="bottom"/>
    </xf>
    <xf numFmtId="0" fontId="22" fillId="0" borderId="10" xfId="0" applyFont="1" applyBorder="1" applyAlignment="1">
      <alignment horizontal="center" vertical="center"/>
      <protection locked="1" hidden="1"/>
    </xf>
    <xf numFmtId="0" fontId="2" fillId="0" borderId="10" xfId="0" applyFont="1" applyBorder="1">
      <alignment vertical="center"/>
      <protection locked="1" hidden="1"/>
    </xf>
    <xf numFmtId="0" fontId="6" fillId="17" borderId="0" xfId="0" applyFont="1" applyFill="1" applyAlignment="1">
      <alignment vertical="bottom"/>
      <protection locked="1" hidden="1"/>
    </xf>
    <xf numFmtId="0" fontId="6" fillId="5" borderId="0" xfId="0" applyFont="1" applyFill="1" applyAlignment="1">
      <alignment vertical="bottom"/>
      <protection locked="1" hidden="1"/>
    </xf>
    <xf numFmtId="0" fontId="16" fillId="0" borderId="1" xfId="0" applyFont="1" applyBorder="1" applyAlignment="1">
      <alignment horizontal="center" vertical="center"/>
      <protection locked="1" hidden="1"/>
    </xf>
    <xf numFmtId="0" fontId="23" fillId="0" borderId="1" xfId="0" applyFont="1" applyBorder="1" applyAlignment="1">
      <alignment horizontal="center" vertical="center"/>
      <protection locked="1" hidden="1"/>
    </xf>
    <xf numFmtId="0" fontId="10" fillId="0" borderId="1" xfId="0" applyFont="1" applyBorder="1" applyAlignment="1">
      <alignment horizontal="center" vertical="center"/>
      <protection locked="1" hidden="1"/>
    </xf>
    <xf numFmtId="0" fontId="16" fillId="0" borderId="1" xfId="0" applyFont="1" applyBorder="1" applyAlignment="1">
      <alignment horizontal="center" vertical="center" wrapText="1"/>
      <protection locked="1" hidden="1"/>
    </xf>
    <xf numFmtId="0" fontId="7" fillId="17" borderId="1" xfId="0" applyFont="1" applyFill="1" applyBorder="1" applyAlignment="1">
      <alignment horizontal="center" vertical="center" wrapText="1"/>
      <protection locked="1" hidden="1"/>
    </xf>
    <xf numFmtId="0" fontId="24" fillId="5" borderId="0" xfId="0" applyFont="1" applyFill="1" applyAlignment="1">
      <alignment horizontal="center" vertical="center"/>
      <protection locked="1" hidden="1"/>
    </xf>
    <xf numFmtId="0" fontId="6" fillId="17" borderId="0" xfId="0" applyFont="1" applyFill="1">
      <alignment vertical="center"/>
    </xf>
    <xf numFmtId="0" fontId="16" fillId="0" borderId="1" xfId="0" applyFont="1" applyBorder="1" applyAlignment="1">
      <alignment horizontal="center" vertical="center" wrapText="1"/>
      <protection locked="1" hidden="1"/>
    </xf>
    <xf numFmtId="0" fontId="16" fillId="0" borderId="1" xfId="0" applyFont="1" applyBorder="1" applyAlignment="1">
      <alignment horizontal="center" vertical="center"/>
      <protection locked="1" hidden="1"/>
    </xf>
    <xf numFmtId="0" fontId="25" fillId="17" borderId="1" xfId="0" applyFont="1" applyFill="1" applyBorder="1" applyAlignment="1">
      <alignment horizontal="center" vertical="center"/>
      <protection locked="1" hidden="1"/>
    </xf>
    <xf numFmtId="0" fontId="24" fillId="5" borderId="0" xfId="0" applyFont="1" applyFill="1" applyAlignment="1">
      <alignment horizontal="center" vertical="center" wrapText="1"/>
      <protection locked="1" hidden="1"/>
    </xf>
    <xf numFmtId="15" fontId="26" fillId="17" borderId="1" xfId="0" applyNumberFormat="1" applyFont="1" applyFill="1" applyBorder="1" applyAlignment="1">
      <alignment horizontal="center" vertical="center"/>
      <protection locked="1" hidden="1"/>
    </xf>
    <xf numFmtId="1" fontId="27" fillId="17" borderId="1" xfId="0" applyNumberFormat="1" applyFont="1" applyFill="1" applyBorder="1" applyAlignment="1">
      <alignment horizontal="center" vertical="center"/>
      <protection locked="0" hidden="1"/>
    </xf>
    <xf numFmtId="1" fontId="26" fillId="17" borderId="1" xfId="0" applyNumberFormat="1" applyFont="1" applyFill="1" applyBorder="1" applyAlignment="1">
      <alignment horizontal="center" vertical="center"/>
      <protection locked="0" hidden="1"/>
    </xf>
    <xf numFmtId="164" fontId="26" fillId="17" borderId="1" xfId="0" applyNumberFormat="1" applyFont="1" applyFill="1" applyBorder="1" applyAlignment="1">
      <alignment horizontal="center" vertical="center"/>
      <protection locked="0" hidden="1"/>
    </xf>
    <xf numFmtId="164" fontId="26" fillId="17" borderId="1" xfId="0" applyNumberFormat="1" applyFont="1" applyFill="1" applyBorder="1" applyAlignment="1">
      <alignment horizontal="center" vertical="center"/>
      <protection locked="1" hidden="1"/>
    </xf>
    <xf numFmtId="164" fontId="28" fillId="17" borderId="1" xfId="0" applyNumberFormat="1" applyFont="1" applyFill="1" applyBorder="1" applyAlignment="1">
      <alignment horizontal="center" vertical="center"/>
      <protection locked="1" hidden="1"/>
    </xf>
    <xf numFmtId="164" fontId="26" fillId="17" borderId="1" xfId="0" applyNumberFormat="1" applyFont="1" applyFill="1" applyBorder="1" applyAlignment="1">
      <alignment horizontal="center" vertical="center" wrapText="1"/>
      <protection locked="0" hidden="1"/>
    </xf>
    <xf numFmtId="0" fontId="26" fillId="17" borderId="1" xfId="0" applyFont="1" applyFill="1" applyBorder="1" applyAlignment="1">
      <alignment horizontal="center" vertical="center"/>
      <protection locked="0" hidden="1"/>
    </xf>
    <xf numFmtId="0" fontId="20" fillId="17" borderId="1" xfId="0" applyFont="1" applyFill="1" applyBorder="1" applyAlignment="1">
      <alignment horizontal="center" vertical="center"/>
      <protection locked="1" hidden="1"/>
    </xf>
    <xf numFmtId="164" fontId="20" fillId="17" borderId="1" xfId="0" applyNumberFormat="1" applyFont="1" applyFill="1" applyBorder="1" applyAlignment="1">
      <alignment horizontal="center" vertical="center"/>
      <protection locked="1" hidden="1"/>
    </xf>
    <xf numFmtId="0" fontId="20" fillId="17" borderId="1" xfId="0" applyFont="1" applyFill="1" applyBorder="1" applyAlignment="1">
      <alignment vertical="bottom"/>
      <protection locked="1" hidden="1"/>
    </xf>
    <xf numFmtId="0" fontId="6" fillId="17" borderId="0" xfId="0" applyFont="1" applyFill="1">
      <alignment vertical="center"/>
      <protection locked="1" hidden="1"/>
    </xf>
    <xf numFmtId="164" fontId="26" fillId="17" borderId="1" xfId="0" applyNumberFormat="1" applyFont="1" applyFill="1" applyBorder="1" applyAlignment="1">
      <alignment horizontal="center" vertical="center" wrapText="1"/>
      <protection locked="1" hidden="1"/>
    </xf>
    <xf numFmtId="0" fontId="20" fillId="4" borderId="0" xfId="0" applyFont="1" applyFill="1" applyAlignment="1">
      <alignment vertical="bottom"/>
    </xf>
    <xf numFmtId="0" fontId="20" fillId="17" borderId="0" xfId="0" applyFont="1" applyFill="1" applyAlignment="1">
      <alignment vertical="bottom"/>
      <protection locked="1" hidden="1"/>
    </xf>
    <xf numFmtId="1" fontId="27" fillId="18" borderId="1" xfId="0" applyNumberFormat="1" applyFont="1" applyFill="1" applyBorder="1" applyAlignment="1">
      <alignment horizontal="center" vertical="center"/>
      <protection locked="0" hidden="1"/>
    </xf>
    <xf numFmtId="164" fontId="28" fillId="17" borderId="8" xfId="0" applyNumberFormat="1" applyFont="1" applyFill="1" applyBorder="1" applyAlignment="1">
      <alignment horizontal="center" vertical="center"/>
      <protection locked="1" hidden="1"/>
    </xf>
    <xf numFmtId="0" fontId="26" fillId="17" borderId="8" xfId="0" applyFont="1" applyFill="1" applyBorder="1" applyAlignment="1">
      <alignment horizontal="center" vertical="center"/>
      <protection locked="0" hidden="1"/>
    </xf>
    <xf numFmtId="164" fontId="26" fillId="17" borderId="3" xfId="0" applyNumberFormat="1" applyFont="1" applyFill="1" applyBorder="1" applyAlignment="1">
      <alignment horizontal="center" vertical="center"/>
      <protection locked="1" hidden="1"/>
    </xf>
    <xf numFmtId="0" fontId="29" fillId="0" borderId="0" xfId="0" applyFont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  <protection locked="1" hidden="1"/>
    </xf>
    <xf numFmtId="1" fontId="25" fillId="0" borderId="1" xfId="0" applyNumberFormat="1" applyFont="1" applyBorder="1" applyAlignment="1">
      <alignment horizontal="center" vertical="center"/>
      <protection locked="1" hidden="1"/>
    </xf>
    <xf numFmtId="1" fontId="26" fillId="0" borderId="1" xfId="0" applyNumberFormat="1" applyFont="1" applyBorder="1" applyAlignment="1">
      <alignment horizontal="center" vertical="center"/>
      <protection locked="0" hidden="1"/>
    </xf>
    <xf numFmtId="164" fontId="25" fillId="0" borderId="1" xfId="0" applyNumberFormat="1" applyFont="1" applyBorder="1" applyAlignment="1">
      <alignment horizontal="center" vertical="center"/>
      <protection locked="1" hidden="1"/>
    </xf>
    <xf numFmtId="164" fontId="25" fillId="17" borderId="1" xfId="0" applyNumberFormat="1" applyFont="1" applyFill="1" applyBorder="1" applyAlignment="1">
      <alignment horizontal="center" vertical="center"/>
      <protection locked="1" hidden="1"/>
    </xf>
    <xf numFmtId="164" fontId="25" fillId="0" borderId="1" xfId="0" applyNumberFormat="1" applyFont="1" applyBorder="1" applyAlignment="1">
      <alignment horizontal="center" vertical="center" wrapText="1"/>
      <protection locked="1" hidden="1"/>
    </xf>
    <xf numFmtId="164" fontId="25" fillId="17" borderId="3" xfId="0" applyNumberFormat="1" applyFont="1" applyFill="1" applyBorder="1" applyAlignment="1">
      <alignment horizontal="center" vertical="center"/>
      <protection locked="1" hidden="1"/>
    </xf>
    <xf numFmtId="0" fontId="25" fillId="0" borderId="1" xfId="0" applyFont="1" applyBorder="1" applyAlignment="1">
      <alignment horizontal="center" vertical="center"/>
      <protection locked="1" hidden="1"/>
    </xf>
    <xf numFmtId="0" fontId="29" fillId="17" borderId="1" xfId="0" applyFont="1" applyFill="1" applyBorder="1" applyAlignment="1">
      <alignment horizontal="center" vertical="center"/>
      <protection locked="1" hidden="1"/>
    </xf>
    <xf numFmtId="0" fontId="30" fillId="17" borderId="0" xfId="0" applyFont="1" applyFill="1" applyAlignment="1">
      <alignment horizontal="center" vertical="center"/>
      <protection locked="1" hidden="1"/>
    </xf>
    <xf numFmtId="0" fontId="30" fillId="17" borderId="0" xfId="0" applyFont="1" applyFill="1" applyAlignment="1">
      <alignment horizontal="center" vertical="center"/>
    </xf>
    <xf numFmtId="0" fontId="29" fillId="17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19" borderId="0" xfId="0" applyFont="1" applyFill="1" applyAlignment="1">
      <alignment vertical="bottom"/>
    </xf>
    <xf numFmtId="0" fontId="6" fillId="20" borderId="0" xfId="0" applyFont="1" applyFill="1" applyAlignment="1">
      <alignment vertical="bottom"/>
    </xf>
    <xf numFmtId="0" fontId="13" fillId="15" borderId="0" xfId="0" applyFont="1" applyFill="1" applyAlignment="1">
      <alignment horizontal="center" vertical="bottom"/>
    </xf>
    <xf numFmtId="0" fontId="1" fillId="20" borderId="0" xfId="0" applyFont="1" applyFill="1" applyAlignment="1">
      <alignment vertical="bottom"/>
    </xf>
    <xf numFmtId="0" fontId="1" fillId="19" borderId="0" xfId="0" applyFont="1" applyFill="1" applyAlignment="1">
      <alignment vertical="bottom"/>
    </xf>
    <xf numFmtId="0" fontId="5" fillId="19" borderId="0" xfId="0" applyFill="1" applyAlignment="1">
      <alignment vertical="bottom"/>
    </xf>
    <xf numFmtId="0" fontId="5" fillId="20" borderId="0" xfId="0" applyFill="1" applyAlignment="1">
      <alignment vertical="bottom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bottom"/>
    </xf>
    <xf numFmtId="0" fontId="14" fillId="15" borderId="5" xfId="0" applyFont="1" applyFill="1" applyBorder="1" applyAlignment="1">
      <alignment horizontal="center" vertical="bottom"/>
    </xf>
    <xf numFmtId="0" fontId="14" fillId="15" borderId="1" xfId="0" applyFont="1" applyFill="1" applyBorder="1" applyAlignment="1">
      <alignment horizontal="center" vertical="bottom"/>
    </xf>
    <xf numFmtId="0" fontId="31" fillId="19" borderId="0" xfId="0" applyFont="1" applyFill="1" applyAlignment="1">
      <alignment vertical="bottom"/>
    </xf>
    <xf numFmtId="0" fontId="6" fillId="19" borderId="0" xfId="0" applyFont="1" applyFill="1" applyAlignment="1">
      <alignment horizontal="center" vertical="center"/>
    </xf>
    <xf numFmtId="0" fontId="6" fillId="20" borderId="0" xfId="0" applyFont="1" applyFill="1" applyAlignment="1">
      <alignment horizontal="center" vertical="center"/>
    </xf>
    <xf numFmtId="0" fontId="14" fillId="15" borderId="1" xfId="0" applyFont="1" applyFill="1" applyBorder="1" applyAlignment="1">
      <alignment horizontal="center" vertical="center" wrapText="1"/>
    </xf>
    <xf numFmtId="0" fontId="1" fillId="20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5" fillId="15" borderId="1" xfId="0" applyFont="1" applyFill="1" applyBorder="1" applyAlignment="1">
      <alignment vertical="bottom"/>
    </xf>
    <xf numFmtId="0" fontId="16" fillId="15" borderId="1" xfId="0" applyFont="1" applyFill="1" applyBorder="1" applyAlignment="1">
      <alignment vertical="bottom"/>
    </xf>
    <xf numFmtId="0" fontId="20" fillId="15" borderId="1" xfId="0" applyFont="1" applyFill="1" applyBorder="1" applyAlignment="1">
      <alignment vertical="bottom"/>
    </xf>
    <xf numFmtId="0" fontId="6" fillId="15" borderId="1" xfId="0" applyFont="1" applyFill="1" applyBorder="1" applyAlignment="1">
      <alignment horizontal="center" vertical="center"/>
    </xf>
    <xf numFmtId="0" fontId="20" fillId="15" borderId="8" xfId="0" applyFont="1" applyFill="1" applyBorder="1" applyAlignment="1">
      <alignment horizontal="center" vertical="center"/>
    </xf>
    <xf numFmtId="1" fontId="20" fillId="15" borderId="1" xfId="0" applyNumberFormat="1" applyFont="1" applyFill="1" applyBorder="1" applyAlignment="1">
      <alignment horizontal="center" vertical="center"/>
    </xf>
    <xf numFmtId="0" fontId="20" fillId="15" borderId="9" xfId="0" applyFont="1" applyFill="1" applyBorder="1" applyAlignment="1">
      <alignment horizontal="center" vertical="center"/>
    </xf>
    <xf numFmtId="164" fontId="16" fillId="15" borderId="1" xfId="0" applyNumberFormat="1" applyFont="1" applyFill="1" applyBorder="1" applyAlignment="1">
      <alignment vertical="bottom"/>
    </xf>
    <xf numFmtId="164" fontId="20" fillId="15" borderId="1" xfId="0" applyNumberFormat="1" applyFont="1" applyFill="1" applyBorder="1" applyAlignment="1">
      <alignment vertical="bottom"/>
    </xf>
    <xf numFmtId="0" fontId="15" fillId="15" borderId="8" xfId="0" applyFont="1" applyFill="1" applyBorder="1" applyAlignment="1">
      <alignment horizontal="center" vertical="bottom"/>
    </xf>
    <xf numFmtId="0" fontId="16" fillId="15" borderId="8" xfId="0" applyFont="1" applyFill="1" applyBorder="1" applyAlignment="1">
      <alignment horizontal="center" vertical="bottom"/>
    </xf>
    <xf numFmtId="0" fontId="15" fillId="15" borderId="9" xfId="0" applyFont="1" applyFill="1" applyBorder="1" applyAlignment="1">
      <alignment horizontal="center" vertical="bottom"/>
    </xf>
    <xf numFmtId="0" fontId="16" fillId="15" borderId="9" xfId="0" applyFont="1" applyFill="1" applyBorder="1" applyAlignment="1">
      <alignment horizontal="center" vertical="bottom"/>
    </xf>
    <xf numFmtId="0" fontId="1" fillId="16" borderId="0" xfId="0" applyFont="1" applyFill="1" applyAlignment="1">
      <alignment vertical="bottom"/>
      <protection locked="1" hidden="1"/>
    </xf>
    <xf numFmtId="0" fontId="7" fillId="17" borderId="1" xfId="0" applyFont="1" applyFill="1" applyBorder="1" applyAlignment="1">
      <alignment horizontal="center" vertical="center"/>
      <protection locked="1" hidden="1"/>
    </xf>
    <xf numFmtId="0" fontId="7" fillId="17" borderId="0" xfId="0" applyFont="1" applyFill="1" applyAlignment="1">
      <alignment horizontal="center" vertical="center"/>
      <protection locked="1" hidden="1"/>
    </xf>
    <xf numFmtId="0" fontId="1" fillId="17" borderId="0" xfId="0" applyFont="1" applyFill="1" applyAlignment="1">
      <alignment vertical="bottom"/>
      <protection locked="1" hidden="1"/>
    </xf>
    <xf numFmtId="0" fontId="7" fillId="17" borderId="1" xfId="0" applyFont="1" applyFill="1" applyBorder="1" applyAlignment="1">
      <alignment horizontal="center" vertical="center"/>
      <protection locked="1" hidden="1"/>
    </xf>
    <xf numFmtId="0" fontId="7" fillId="17" borderId="1" xfId="0" applyFont="1" applyFill="1" applyBorder="1" applyAlignment="1">
      <alignment horizontal="center" vertical="center"/>
      <protection locked="0" hidden="1"/>
    </xf>
    <xf numFmtId="0" fontId="1" fillId="17" borderId="0" xfId="0" applyFont="1" applyFill="1" applyAlignment="1">
      <alignment horizontal="center" vertical="center"/>
      <protection locked="1" hidden="1"/>
    </xf>
    <xf numFmtId="0" fontId="1" fillId="17" borderId="1" xfId="0" applyFont="1" applyFill="1" applyBorder="1" applyAlignment="1">
      <alignment horizontal="center" vertical="center"/>
      <protection locked="1" hidden="1"/>
    </xf>
    <xf numFmtId="0" fontId="32" fillId="17" borderId="1" xfId="0" applyFont="1" applyFill="1" applyBorder="1" applyAlignment="1">
      <alignment horizontal="center" vertical="center"/>
      <protection locked="1" hidden="1"/>
    </xf>
    <xf numFmtId="0" fontId="32" fillId="17" borderId="1" xfId="0" applyFont="1" applyFill="1" applyBorder="1" applyAlignment="1">
      <alignment horizontal="center" vertical="center"/>
      <protection locked="0" hidden="1"/>
    </xf>
    <xf numFmtId="168" fontId="32" fillId="17" borderId="1" xfId="0" applyNumberFormat="1" applyFont="1" applyFill="1" applyBorder="1" applyAlignment="1">
      <alignment horizontal="center" vertical="center"/>
      <protection locked="1" hidden="1"/>
    </xf>
    <xf numFmtId="0" fontId="32" fillId="17" borderId="0" xfId="0" applyFont="1" applyFill="1" applyAlignment="1">
      <alignment horizontal="center" vertical="center"/>
      <protection locked="1" hidden="1"/>
    </xf>
    <xf numFmtId="166" fontId="32" fillId="17" borderId="1" xfId="0" applyNumberFormat="1" applyFont="1" applyFill="1" applyBorder="1" applyAlignment="1">
      <alignment horizontal="center" vertical="center"/>
      <protection locked="1" hidden="1"/>
    </xf>
    <xf numFmtId="0" fontId="1" fillId="17" borderId="1" xfId="0" applyFont="1" applyFill="1" applyBorder="1" applyAlignment="1">
      <alignment horizontal="center" vertical="center"/>
      <protection locked="0" hidden="1"/>
    </xf>
    <xf numFmtId="164" fontId="32" fillId="17" borderId="1" xfId="0" applyNumberFormat="1" applyFont="1" applyFill="1" applyBorder="1" applyAlignment="1">
      <alignment horizontal="center" vertical="center"/>
      <protection locked="1" hidden="1"/>
    </xf>
    <xf numFmtId="166" fontId="32" fillId="17" borderId="1" xfId="0" applyNumberFormat="1" applyFont="1" applyFill="1" applyBorder="1" applyAlignment="1">
      <alignment horizontal="center" vertical="center"/>
      <protection locked="0" hidden="1"/>
    </xf>
    <xf numFmtId="1" fontId="32" fillId="17" borderId="1" xfId="0" applyNumberFormat="1" applyFont="1" applyFill="1" applyBorder="1" applyAlignment="1">
      <alignment horizontal="center" vertical="center"/>
      <protection locked="1" hidden="1"/>
    </xf>
    <xf numFmtId="14" fontId="8" fillId="17" borderId="1" xfId="0" applyNumberFormat="1" applyFont="1" applyFill="1" applyBorder="1" applyAlignment="1">
      <alignment horizontal="center" vertical="center"/>
      <protection locked="1" hidden="1"/>
    </xf>
    <xf numFmtId="0" fontId="7" fillId="7" borderId="1" xfId="0" applyFont="1" applyFill="1" applyBorder="1" applyAlignment="1">
      <alignment horizontal="center" vertical="center"/>
      <protection locked="1" hidden="1"/>
    </xf>
    <xf numFmtId="0" fontId="7" fillId="8" borderId="1" xfId="0" applyFont="1" applyFill="1" applyBorder="1" applyAlignment="1">
      <alignment horizontal="center" vertical="center"/>
      <protection locked="1" hidden="1"/>
    </xf>
    <xf numFmtId="1" fontId="8" fillId="21" borderId="1" xfId="0" applyNumberFormat="1" applyFont="1" applyFill="1" applyBorder="1" applyAlignment="1">
      <alignment horizontal="center" vertical="center"/>
      <protection locked="1" hidden="1"/>
    </xf>
    <xf numFmtId="0" fontId="1" fillId="17" borderId="1" xfId="0" applyFont="1" applyFill="1" applyBorder="1" applyAlignment="1">
      <alignment vertical="bottom"/>
      <protection locked="1" hidden="1"/>
    </xf>
    <xf numFmtId="0" fontId="1" fillId="17" borderId="1" xfId="0" applyFont="1" applyFill="1" applyBorder="1" applyAlignment="1">
      <alignment vertical="bottom"/>
      <protection locked="0" hidden="1"/>
    </xf>
    <xf numFmtId="0" fontId="7" fillId="17" borderId="0" xfId="0" applyFont="1" applyFill="1" applyAlignment="1">
      <alignment vertical="bottom"/>
      <protection locked="1" hidden="1"/>
    </xf>
    <xf numFmtId="0" fontId="7" fillId="8" borderId="8" xfId="0" applyFont="1" applyFill="1" applyBorder="1" applyAlignment="1">
      <alignment horizontal="center" vertical="center"/>
      <protection locked="1" hidden="1"/>
    </xf>
    <xf numFmtId="1" fontId="8" fillId="21" borderId="8" xfId="0" applyNumberFormat="1" applyFont="1" applyFill="1" applyBorder="1" applyAlignment="1">
      <alignment horizontal="center" vertical="center"/>
      <protection locked="1" hidden="1"/>
    </xf>
    <xf numFmtId="0" fontId="33" fillId="17" borderId="0" xfId="0" applyFont="1" applyFill="1" applyAlignment="1">
      <alignment vertical="bottom"/>
      <protection locked="1" hidden="1"/>
    </xf>
    <xf numFmtId="0" fontId="34" fillId="17" borderId="0" xfId="0" applyFont="1" applyFill="1" applyAlignment="1">
      <alignment horizontal="center" vertical="center"/>
      <protection locked="1" hidden="1"/>
    </xf>
    <xf numFmtId="1" fontId="35" fillId="17" borderId="0" xfId="0" applyNumberFormat="1" applyFont="1" applyFill="1">
      <alignment vertical="center"/>
      <protection locked="1" hidden="1"/>
    </xf>
    <xf numFmtId="0" fontId="1" fillId="17" borderId="3" xfId="0" applyFont="1" applyFill="1" applyBorder="1" applyAlignment="1">
      <alignment horizontal="center" vertical="center"/>
      <protection locked="1" hidden="1"/>
    </xf>
    <xf numFmtId="0" fontId="1" fillId="17" borderId="4" xfId="0" applyFont="1" applyFill="1" applyBorder="1" applyAlignment="1">
      <alignment horizontal="center" vertical="center"/>
      <protection locked="1" hidden="1"/>
    </xf>
    <xf numFmtId="0" fontId="1" fillId="17" borderId="5" xfId="0" applyFont="1" applyFill="1" applyBorder="1" applyAlignment="1">
      <alignment horizontal="center" vertical="center"/>
      <protection locked="1" hidden="1"/>
    </xf>
    <xf numFmtId="0" fontId="34" fillId="17" borderId="0" xfId="0" applyFont="1" applyFill="1" applyAlignment="1">
      <alignment horizontal="center" vertical="bottom"/>
      <protection locked="1" hidden="1"/>
    </xf>
    <xf numFmtId="0" fontId="7" fillId="21" borderId="1" xfId="0" applyFont="1" applyFill="1" applyBorder="1" applyAlignment="1">
      <alignment horizontal="center" vertical="center"/>
      <protection locked="1" hidden="1"/>
    </xf>
    <xf numFmtId="0" fontId="7" fillId="20" borderId="1" xfId="0" applyFont="1" applyFill="1" applyBorder="1" applyAlignment="1">
      <alignment horizontal="center" vertical="center"/>
      <protection locked="1" hidden="1"/>
    </xf>
    <xf numFmtId="1" fontId="8" fillId="22" borderId="1" xfId="0" applyNumberFormat="1" applyFont="1" applyFill="1" applyBorder="1">
      <alignment vertical="center"/>
      <protection locked="1" hidden="1"/>
    </xf>
    <xf numFmtId="0" fontId="7" fillId="20" borderId="1" xfId="0" applyFont="1" applyFill="1" applyBorder="1" applyAlignment="1">
      <alignment horizontal="center" vertical="bottom"/>
      <protection locked="1" hidden="1"/>
    </xf>
    <xf numFmtId="0" fontId="7" fillId="17" borderId="1" xfId="0" applyFont="1" applyFill="1" applyBorder="1" applyAlignment="1">
      <alignment horizontal="center" vertical="bottom"/>
      <protection locked="1" hidden="1"/>
    </xf>
    <xf numFmtId="1" fontId="8" fillId="17" borderId="1" xfId="0" applyNumberFormat="1" applyFont="1" applyFill="1" applyBorder="1">
      <alignment vertical="center"/>
      <protection locked="1" hidden="1"/>
    </xf>
    <xf numFmtId="0" fontId="1" fillId="17" borderId="1" xfId="0" applyFont="1" applyFill="1" applyBorder="1" applyAlignment="1">
      <alignment horizontal="center" vertical="center"/>
      <protection locked="1" hidden="1"/>
    </xf>
    <xf numFmtId="0" fontId="32" fillId="17" borderId="0" xfId="0" applyFont="1" applyFill="1" applyAlignment="1">
      <alignment vertical="bottom"/>
      <protection locked="1" hidden="1"/>
    </xf>
    <xf numFmtId="0" fontId="36" fillId="17" borderId="0" xfId="0" applyFont="1" applyFill="1" applyAlignment="1">
      <alignment horizontal="center" vertical="center"/>
      <protection locked="1" hidden="1"/>
    </xf>
    <xf numFmtId="0" fontId="37" fillId="17" borderId="0" xfId="0" applyFont="1" applyFill="1" applyAlignment="1">
      <alignment vertical="bottom"/>
      <protection locked="1" hidden="1"/>
    </xf>
    <xf numFmtId="0" fontId="36" fillId="17" borderId="0" xfId="0" applyFont="1" applyFill="1" applyAlignment="1">
      <alignment horizontal="center" vertical="center"/>
      <protection locked="1" hidden="1"/>
    </xf>
    <xf numFmtId="1" fontId="38" fillId="17" borderId="0" xfId="0" applyNumberFormat="1" applyFont="1" applyFill="1" applyAlignment="1">
      <alignment horizontal="center" vertical="center"/>
      <protection locked="1" hidden="1"/>
    </xf>
    <xf numFmtId="0" fontId="39" fillId="17" borderId="0" xfId="0" applyFont="1" applyFill="1" applyAlignment="1">
      <alignment vertical="bottom"/>
      <protection locked="1" hidden="1"/>
    </xf>
    <xf numFmtId="14" fontId="8" fillId="17" borderId="1" xfId="0" applyNumberFormat="1" applyFont="1" applyFill="1" applyBorder="1" applyAlignment="1">
      <alignment horizontal="center" vertical="center"/>
      <protection locked="1" hidden="1"/>
    </xf>
    <xf numFmtId="164" fontId="8" fillId="17" borderId="1" xfId="0" applyNumberFormat="1" applyFont="1" applyFill="1" applyBorder="1" applyAlignment="1">
      <alignment horizontal="center" vertical="center"/>
      <protection locked="1" hidden="1"/>
    </xf>
    <xf numFmtId="168" fontId="8" fillId="17" borderId="1" xfId="0" applyNumberFormat="1" applyFont="1" applyFill="1" applyBorder="1" applyAlignment="1">
      <alignment horizontal="center" vertical="center"/>
      <protection locked="1" hidden="1"/>
    </xf>
    <xf numFmtId="0" fontId="1" fillId="17" borderId="1" xfId="0" applyFont="1" applyFill="1" applyBorder="1" applyAlignment="1">
      <alignment horizontal="center" vertical="bottom"/>
      <protection locked="1" hidden="1"/>
    </xf>
    <xf numFmtId="0" fontId="7" fillId="17" borderId="3" xfId="0" applyFont="1" applyFill="1" applyBorder="1" applyAlignment="1">
      <alignment horizontal="center" vertical="center"/>
      <protection locked="1" hidden="1"/>
    </xf>
    <xf numFmtId="0" fontId="7" fillId="17" borderId="4" xfId="0" applyFont="1" applyFill="1" applyBorder="1" applyAlignment="1">
      <alignment horizontal="center" vertical="center"/>
      <protection locked="1" hidden="1"/>
    </xf>
    <xf numFmtId="0" fontId="7" fillId="17" borderId="5" xfId="0" applyFont="1" applyFill="1" applyBorder="1" applyAlignment="1">
      <alignment horizontal="center" vertical="center"/>
      <protection locked="1" hidden="1"/>
    </xf>
    <xf numFmtId="0" fontId="14" fillId="17" borderId="1" xfId="0" applyFont="1" applyFill="1" applyBorder="1" applyAlignment="1">
      <alignment horizontal="center" vertical="center"/>
      <protection locked="1" hidden="1"/>
    </xf>
    <xf numFmtId="0" fontId="14" fillId="17" borderId="1" xfId="0" applyFont="1" applyFill="1" applyBorder="1" applyAlignment="1">
      <alignment horizontal="center" vertical="center" wrapText="1"/>
      <protection locked="1" hidden="1"/>
    </xf>
    <xf numFmtId="0" fontId="14" fillId="17" borderId="1" xfId="0" applyFont="1" applyFill="1" applyBorder="1" applyAlignment="1" quotePrefix="1">
      <alignment horizontal="center" vertical="center"/>
      <protection locked="1" hidden="1"/>
    </xf>
    <xf numFmtId="0" fontId="7" fillId="17" borderId="9" xfId="0" applyFont="1" applyFill="1" applyBorder="1" applyAlignment="1">
      <alignment horizontal="center" vertical="center"/>
      <protection locked="1" hidden="1"/>
    </xf>
    <xf numFmtId="0" fontId="15" fillId="17" borderId="1" xfId="0" applyFont="1" applyFill="1" applyBorder="1" applyAlignment="1">
      <alignment horizontal="center" vertical="center" wrapText="1"/>
      <protection locked="1" hidden="1"/>
    </xf>
    <xf numFmtId="0" fontId="7" fillId="17" borderId="1" xfId="0" applyFont="1" applyFill="1" applyBorder="1" applyAlignment="1" quotePrefix="1">
      <alignment horizontal="center" vertical="center"/>
      <protection locked="1" hidden="1"/>
    </xf>
    <xf numFmtId="1" fontId="32" fillId="17" borderId="1" xfId="0" applyNumberFormat="1" applyFont="1" applyFill="1" applyBorder="1" applyAlignment="1">
      <alignment horizontal="center" vertical="center"/>
      <protection locked="0" hidden="1"/>
    </xf>
    <xf numFmtId="1" fontId="8" fillId="17" borderId="1" xfId="0" applyNumberFormat="1" applyFont="1" applyFill="1" applyBorder="1" applyAlignment="1">
      <alignment horizontal="center" vertical="center"/>
      <protection locked="1" hidden="1"/>
    </xf>
    <xf numFmtId="0" fontId="8" fillId="17" borderId="1" xfId="0" applyFont="1" applyFill="1" applyBorder="1" applyAlignment="1">
      <alignment horizontal="center" vertical="center"/>
      <protection locked="1" hidden="1"/>
    </xf>
  </cellXfs>
  <cellStyles count="1">
    <cellStyle name="常规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www.wps.cn/officeDocument/2020/cellImage" Target="cellimages.xml"/><Relationship Id="rId8" Type="http://schemas.openxmlformats.org/officeDocument/2006/relationships/sharedStrings" Target="sharedStrings.xml"/><Relationship Id="rId9" Type="http://schemas.openxmlformats.org/officeDocument/2006/relationships/styles" Target="styles.xml"/><Relationship Id="rId10" Type="http://schemas.openxmlformats.org/officeDocument/2006/relationships/theme" Target="theme/theme1.xml"/></Relationships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0</xdr:colOff>
      <xdr:row>15</xdr:row>
      <xdr:rowOff>227893</xdr:rowOff>
    </xdr:from>
    <xdr:to>
      <xdr:col>22</xdr:col>
      <xdr:colOff>952236</xdr:colOff>
      <xdr:row>21</xdr:row>
      <xdr:rowOff>227893</xdr:rowOff>
    </xdr:to>
    <xdr:sp macro="" textlink="">
      <xdr:nvSpPr>
        <xdr:cNvPr id="2" name="rect"/>
        <xdr:cNvSpPr/>
      </xdr:nvSpPr>
      <xdr:spPr>
        <a:xfrm>
          <a:off x="9372601" y="4276725"/>
          <a:ext cx="2476499" cy="1428750"/>
        </a:xfrm>
        <a:prstGeom prst="rect">
          <a:avLst/>
        </a:prstGeom>
        <a:solidFill>
          <a:srgbClr val="fee599"/>
        </a:solidFill>
        <a:ln w="9525" cap="flat" cmpd="sng">
          <a:solidFill>
            <a:srgbClr val="223f59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20</xdr:col>
      <xdr:colOff>9248</xdr:colOff>
      <xdr:row>17</xdr:row>
      <xdr:rowOff>113481</xdr:rowOff>
    </xdr:from>
    <xdr:to>
      <xdr:col>23</xdr:col>
      <xdr:colOff>18214</xdr:colOff>
      <xdr:row>21</xdr:row>
      <xdr:rowOff>189755</xdr:rowOff>
    </xdr:to>
    <xdr:sp macro="" textlink="">
      <xdr:nvSpPr>
        <xdr:cNvPr id="3" name=" "/>
        <xdr:cNvSpPr txBox="1"/>
      </xdr:nvSpPr>
      <xdr:spPr>
        <a:xfrm>
          <a:off x="9382125" y="4638675"/>
          <a:ext cx="2495550" cy="1038225"/>
        </a:xfrm>
        <a:prstGeom prst="rect">
          <a:avLst/>
        </a:prstGeom>
        <a:solidFill>
          <a:srgbClr val="fee599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400" b="1">
              <a:solidFill>
                <a:srgbClr val="FF0000"/>
              </a:solidFill>
              <a:latin typeface="Kruti Dev 010" panose="" pitchFamily="0" charset="0"/>
              <a:ea typeface="Kruti Dev 010" panose="" pitchFamily="0" charset="0"/>
            </a:rPr>
            <a:t>;fn</a:t>
          </a:r>
          <a:r>
            <a:rPr lang="en-US" altLang="zh-CN" sz="1400" b="1">
              <a:solidFill>
                <a:srgbClr val="FF0000"/>
              </a:solidFill>
              <a:latin typeface="Kruti Dev 010" panose="" pitchFamily="0" charset="0"/>
              <a:ea typeface="Kruti Dev 010" panose="" pitchFamily="0" charset="0"/>
            </a:rPr>
            <a:t> ;s lsy yky gS rks fdlh Hkh lkexzh dh nj ?kVk;sa jkf'k dk vUrj gks rks c&lt;k;saaA</a:t>
          </a:r>
        </a:p>
      </xdr:txBody>
    </xdr:sp>
    <xdr:clientData/>
  </xdr:twoCellAnchor>
  <xdr:twoCellAnchor>
    <xdr:from>
      <xdr:col>23</xdr:col>
      <xdr:colOff>47559</xdr:colOff>
      <xdr:row>19</xdr:row>
      <xdr:rowOff>63251</xdr:rowOff>
    </xdr:from>
    <xdr:to>
      <xdr:col>23</xdr:col>
      <xdr:colOff>466487</xdr:colOff>
      <xdr:row>25</xdr:row>
      <xdr:rowOff>215800</xdr:rowOff>
    </xdr:to>
    <xdr:sp macro="" textlink="">
      <xdr:nvSpPr>
        <xdr:cNvPr id="4" name="curvedLeftArrow"/>
        <xdr:cNvSpPr/>
      </xdr:nvSpPr>
      <xdr:spPr>
        <a:xfrm>
          <a:off x="11906250" y="5067300"/>
          <a:ext cx="419100" cy="1581150"/>
        </a:xfrm>
        <a:prstGeom prst="curvedLeftArrow">
          <a:avLst/>
        </a:prstGeom>
        <a:solidFill>
          <a:srgbClr val="5a9bd5"/>
        </a:solidFill>
        <a:ln w="9525" cap="flat" cmpd="sng">
          <a:solidFill>
            <a:srgbClr val="223f59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23</xdr:col>
      <xdr:colOff>0</xdr:colOff>
      <xdr:row>19</xdr:row>
      <xdr:rowOff>227558</xdr:rowOff>
    </xdr:from>
    <xdr:to>
      <xdr:col>25</xdr:col>
      <xdr:colOff>952236</xdr:colOff>
      <xdr:row>25</xdr:row>
      <xdr:rowOff>227893</xdr:rowOff>
    </xdr:to>
    <xdr:sp macro="" textlink="">
      <xdr:nvSpPr>
        <xdr:cNvPr id="2" name="rect"/>
        <xdr:cNvSpPr/>
      </xdr:nvSpPr>
      <xdr:spPr>
        <a:xfrm>
          <a:off x="11258551" y="3800475"/>
          <a:ext cx="2876549" cy="1428750"/>
        </a:xfrm>
        <a:prstGeom prst="rect">
          <a:avLst/>
        </a:prstGeom>
        <a:solidFill>
          <a:srgbClr val="fee599"/>
        </a:solidFill>
        <a:ln w="9525" cap="flat" cmpd="sng">
          <a:solidFill>
            <a:srgbClr val="223f59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23</xdr:col>
      <xdr:colOff>9248</xdr:colOff>
      <xdr:row>21</xdr:row>
      <xdr:rowOff>113481</xdr:rowOff>
    </xdr:from>
    <xdr:to>
      <xdr:col>26</xdr:col>
      <xdr:colOff>18214</xdr:colOff>
      <xdr:row>25</xdr:row>
      <xdr:rowOff>189755</xdr:rowOff>
    </xdr:to>
    <xdr:sp macro="" textlink="">
      <xdr:nvSpPr>
        <xdr:cNvPr id="3" name=" "/>
        <xdr:cNvSpPr txBox="1"/>
      </xdr:nvSpPr>
      <xdr:spPr>
        <a:xfrm>
          <a:off x="11268075" y="4162425"/>
          <a:ext cx="3209925" cy="1038225"/>
        </a:xfrm>
        <a:prstGeom prst="rect">
          <a:avLst/>
        </a:prstGeom>
        <a:solidFill>
          <a:srgbClr val="fee599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400" b="1">
              <a:solidFill>
                <a:srgbClr val="FF0000"/>
              </a:solidFill>
              <a:latin typeface="Kruti Dev 010" panose="" pitchFamily="0" charset="0"/>
              <a:ea typeface="Kruti Dev 010" panose="" pitchFamily="0" charset="0"/>
            </a:rPr>
            <a:t>;fn</a:t>
          </a:r>
          <a:r>
            <a:rPr lang="en-US" altLang="zh-CN" sz="1400" b="1">
              <a:solidFill>
                <a:srgbClr val="FF0000"/>
              </a:solidFill>
              <a:latin typeface="Kruti Dev 010" panose="" pitchFamily="0" charset="0"/>
              <a:ea typeface="Kruti Dev 010" panose="" pitchFamily="0" charset="0"/>
            </a:rPr>
            <a:t> ;s lsy yky gS rks fdlh Hkh lkexzh dh nj ?kVk;sa jkf'k dk vUrj gks rks c&lt;k;saaA</a:t>
          </a:r>
        </a:p>
      </xdr:txBody>
    </xdr:sp>
    <xdr:clientData/>
  </xdr:twoCellAnchor>
  <xdr:twoCellAnchor>
    <xdr:from>
      <xdr:col>26</xdr:col>
      <xdr:colOff>47559</xdr:colOff>
      <xdr:row>23</xdr:row>
      <xdr:rowOff>63251</xdr:rowOff>
    </xdr:from>
    <xdr:to>
      <xdr:col>26</xdr:col>
      <xdr:colOff>466487</xdr:colOff>
      <xdr:row>29</xdr:row>
      <xdr:rowOff>215800</xdr:rowOff>
    </xdr:to>
    <xdr:sp macro="" textlink="">
      <xdr:nvSpPr>
        <xdr:cNvPr id="4" name="curvedLeftArrow"/>
        <xdr:cNvSpPr/>
      </xdr:nvSpPr>
      <xdr:spPr>
        <a:xfrm>
          <a:off x="14506575" y="4591050"/>
          <a:ext cx="419100" cy="1581150"/>
        </a:xfrm>
        <a:prstGeom prst="curvedLeftArrow">
          <a:avLst/>
        </a:prstGeom>
        <a:solidFill>
          <a:srgbClr val="5a9bd5"/>
        </a:solidFill>
        <a:ln w="9525" cap="flat" cmpd="sng">
          <a:solidFill>
            <a:srgbClr val="223f59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7"/>
  <sheetViews>
    <sheetView workbookViewId="0" topLeftCell="B7">
      <selection activeCell="Q13" sqref="Q13"/>
    </sheetView>
  </sheetViews>
  <sheetFormatPr defaultRowHeight="18.75" defaultColWidth="10"/>
  <cols>
    <col min="1" max="1" customWidth="1" width="3.0" style="1"/>
    <col min="2" max="2" customWidth="1" width="5.0" style="1"/>
    <col min="3" max="13" customWidth="0" width="9.140625" style="1"/>
    <col min="14" max="14" customWidth="1" width="2.7109375" style="1"/>
    <col min="15" max="16384" customWidth="0" width="9.140625" style="1"/>
  </cols>
  <sheetData>
    <row r="1" spans="8: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8:8" ht="26.25">
      <c r="A2" s="2"/>
      <c r="B2" s="3" t="s">
        <v>92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4" t="s">
        <v>99</v>
      </c>
      <c r="P2" s="4"/>
      <c r="Q2" s="4"/>
      <c r="R2" s="4"/>
      <c r="S2" s="4"/>
    </row>
    <row r="3" spans="8:8" ht="26.25">
      <c r="A3" s="2"/>
      <c r="B3" s="5">
        <v>1.0</v>
      </c>
      <c r="C3" s="6" t="s">
        <v>93</v>
      </c>
      <c r="D3" s="6"/>
      <c r="E3" s="6"/>
      <c r="F3" s="6"/>
      <c r="G3" s="6"/>
      <c r="H3" s="6"/>
      <c r="I3" s="6"/>
      <c r="J3" s="6"/>
      <c r="K3" s="6"/>
      <c r="L3" s="6"/>
      <c r="M3" s="6"/>
      <c r="N3" s="2"/>
      <c r="O3" s="4">
        <v>9.664061084E9</v>
      </c>
      <c r="P3" s="4"/>
      <c r="Q3" s="4"/>
      <c r="R3" s="4"/>
      <c r="S3" s="4"/>
    </row>
    <row r="4" spans="8:8" ht="23.25">
      <c r="A4" s="2"/>
      <c r="B4" s="7">
        <v>2.0</v>
      </c>
      <c r="C4" s="8" t="s">
        <v>94</v>
      </c>
      <c r="D4" s="8"/>
      <c r="E4" s="8"/>
      <c r="F4" s="8"/>
      <c r="G4" s="8"/>
      <c r="H4" s="8"/>
      <c r="I4" s="8"/>
      <c r="J4" s="8"/>
      <c r="K4" s="8"/>
      <c r="L4" s="8"/>
      <c r="M4" s="8"/>
      <c r="N4" s="2"/>
    </row>
    <row r="5" spans="8:8" ht="45.75" customHeight="1">
      <c r="A5" s="2"/>
      <c r="B5" s="5">
        <v>3.0</v>
      </c>
      <c r="C5" s="9" t="s">
        <v>95</v>
      </c>
      <c r="D5" s="9"/>
      <c r="E5" s="9"/>
      <c r="F5" s="9"/>
      <c r="G5" s="9"/>
      <c r="H5" s="9"/>
      <c r="I5" s="9"/>
      <c r="J5" s="9"/>
      <c r="K5" s="9"/>
      <c r="L5" s="9"/>
      <c r="M5" s="9"/>
      <c r="N5" s="2"/>
    </row>
    <row r="6" spans="8:8" ht="96.0" customHeight="1">
      <c r="A6" s="2"/>
      <c r="B6" s="7">
        <v>4.0</v>
      </c>
      <c r="C6" s="10" t="s">
        <v>120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2"/>
    </row>
    <row r="7" spans="8:8" ht="50.25" customHeight="1">
      <c r="A7" s="2"/>
      <c r="B7" s="5">
        <v>5.0</v>
      </c>
      <c r="C7" s="9" t="s">
        <v>96</v>
      </c>
      <c r="D7" s="9"/>
      <c r="E7" s="9"/>
      <c r="F7" s="9"/>
      <c r="G7" s="9"/>
      <c r="H7" s="9"/>
      <c r="I7" s="9"/>
      <c r="J7" s="9"/>
      <c r="K7" s="9"/>
      <c r="L7" s="9"/>
      <c r="M7" s="9"/>
      <c r="N7" s="2"/>
    </row>
    <row r="8" spans="8:8" ht="23.25" customHeight="1">
      <c r="A8" s="2"/>
      <c r="B8" s="7">
        <v>6.0</v>
      </c>
      <c r="C8" s="8" t="s">
        <v>97</v>
      </c>
      <c r="D8" s="8"/>
      <c r="E8" s="8"/>
      <c r="F8" s="8"/>
      <c r="G8" s="8"/>
      <c r="H8" s="8"/>
      <c r="I8" s="8"/>
      <c r="J8" s="8"/>
      <c r="K8" s="8"/>
      <c r="L8" s="8"/>
      <c r="M8" s="8"/>
      <c r="N8" s="2"/>
    </row>
    <row r="9" spans="8:8" ht="23.25" customHeight="1">
      <c r="A9" s="2"/>
      <c r="B9" s="11" t="s">
        <v>98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</row>
    <row r="10" spans="8:8" ht="23.25" customHeight="1">
      <c r="A10" s="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</row>
    <row r="11" spans="8:8" ht="23.25" customHeight="1">
      <c r="A11" s="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2"/>
    </row>
    <row r="12" spans="8:8" ht="15.0" customHeight="1">
      <c r="A12" s="2"/>
      <c r="B12" s="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2"/>
    </row>
    <row r="13" spans="8:8" ht="23.25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8:8" ht="23.25"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8:8" ht="23.25"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8:8" ht="23.25"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8:8" ht="23.25"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</sheetData>
  <sheetProtection algorithmName="SHA-512" hashValue="/toe8lO2JPaE/z1te/lsMaI3I8iXAf6H7QTfeN2BlUc9FWLGqfzPWIL9WsctUUF3C6Lcq01tz3ugy/wX+JJ8EA==" saltValue="PFdkT+DTwcv0qgt+AjzpdA==" spinCount="100000" sheet="1" objects="1" scenarios="1"/>
  <mergeCells count="16">
    <mergeCell ref="O2:S2"/>
    <mergeCell ref="O3:S3"/>
    <mergeCell ref="B2:M2"/>
    <mergeCell ref="C3:M3"/>
    <mergeCell ref="C4:M4"/>
    <mergeCell ref="C5:M5"/>
    <mergeCell ref="C6:M6"/>
    <mergeCell ref="C7:M7"/>
    <mergeCell ref="C14:M14"/>
    <mergeCell ref="C15:M15"/>
    <mergeCell ref="C16:M16"/>
    <mergeCell ref="C17:M17"/>
    <mergeCell ref="B9:M11"/>
    <mergeCell ref="C8:M8"/>
    <mergeCell ref="C12:M12"/>
    <mergeCell ref="C13:M13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O42"/>
  <sheetViews>
    <sheetView workbookViewId="0" zoomScale="117">
      <selection activeCell="C11" sqref="C11"/>
    </sheetView>
  </sheetViews>
  <sheetFormatPr defaultRowHeight="15.0" defaultColWidth="10"/>
  <cols>
    <col min="1" max="1" customWidth="1" width="0.7109375" style="16"/>
    <col min="2" max="2" customWidth="1" width="25.285156" style="16"/>
    <col min="3" max="3" customWidth="1" width="15.425781" style="16"/>
    <col min="4" max="4" customWidth="1" width="13.425781" style="16"/>
    <col min="5" max="5" customWidth="1" width="14.140625" style="16"/>
    <col min="6" max="6" customWidth="1" width="12.855469" style="16"/>
    <col min="7" max="7" customWidth="1" width="13.855469" style="16"/>
    <col min="8" max="8" customWidth="1" width="12.425781" style="16"/>
    <col min="9" max="9" customWidth="1" width="0.5703125" style="16"/>
    <col min="10" max="12" customWidth="0" width="9.140625" style="16"/>
    <col min="13" max="13" customWidth="1" width="0.140625" style="16"/>
    <col min="14" max="14" hidden="1" customWidth="1" width="9.140625" style="16"/>
    <col min="15" max="16384" customWidth="0" width="9.140625" style="16"/>
  </cols>
  <sheetData>
    <row r="1" spans="8:8" ht="3.75" customHeight="1">
      <c r="A1" s="17"/>
      <c r="B1" s="17"/>
      <c r="C1" s="17"/>
      <c r="D1" s="17"/>
      <c r="E1" s="17"/>
      <c r="F1" s="17"/>
      <c r="G1" s="17"/>
      <c r="H1" s="17"/>
      <c r="I1" s="17"/>
    </row>
    <row r="2" spans="8:8" s="18" ht="18.75" customFormat="1">
      <c r="A2" s="19"/>
      <c r="B2" s="20" t="s">
        <v>21</v>
      </c>
      <c r="C2" s="21" t="s">
        <v>101</v>
      </c>
      <c r="D2" s="22"/>
      <c r="E2" s="22"/>
      <c r="F2" s="22"/>
      <c r="G2" s="22"/>
      <c r="H2" s="23"/>
      <c r="I2" s="19"/>
      <c r="J2" s="24" t="s">
        <v>82</v>
      </c>
      <c r="K2" s="24"/>
      <c r="L2" s="24"/>
      <c r="M2" s="24"/>
      <c r="N2" s="24"/>
    </row>
    <row r="3" spans="8:8" s="18" ht="18.75" customFormat="1">
      <c r="A3" s="19"/>
      <c r="B3" s="20" t="s">
        <v>22</v>
      </c>
      <c r="C3" s="25" t="s">
        <v>24</v>
      </c>
      <c r="D3" s="26"/>
      <c r="E3" s="27" t="s">
        <v>23</v>
      </c>
      <c r="F3" s="28"/>
      <c r="G3" s="29" t="s">
        <v>73</v>
      </c>
      <c r="H3" s="30"/>
      <c r="I3" s="19"/>
      <c r="J3" s="24"/>
      <c r="K3" s="24"/>
      <c r="L3" s="24"/>
      <c r="M3" s="24"/>
      <c r="N3" s="24"/>
    </row>
    <row r="4" spans="8:8" s="18" ht="18.75" customFormat="1">
      <c r="A4" s="19"/>
      <c r="B4" s="31" t="s">
        <v>79</v>
      </c>
      <c r="C4" s="25">
        <v>9.664061084E9</v>
      </c>
      <c r="D4" s="26"/>
      <c r="E4" s="27" t="s">
        <v>79</v>
      </c>
      <c r="F4" s="28"/>
      <c r="G4" s="29">
        <v>9.664061084E9</v>
      </c>
      <c r="H4" s="30"/>
      <c r="I4" s="19"/>
      <c r="J4" s="24"/>
      <c r="K4" s="24"/>
      <c r="L4" s="24"/>
      <c r="M4" s="24"/>
      <c r="N4" s="24"/>
    </row>
    <row r="5" spans="8:8" s="18" ht="18.75" customFormat="1">
      <c r="A5" s="19"/>
      <c r="B5" s="20" t="s">
        <v>25</v>
      </c>
      <c r="C5" s="32">
        <v>45870.0</v>
      </c>
      <c r="D5" s="33"/>
      <c r="E5" s="34" t="s">
        <v>78</v>
      </c>
      <c r="F5" s="35"/>
      <c r="G5" s="36" t="s">
        <v>102</v>
      </c>
      <c r="H5" s="37"/>
      <c r="I5" s="19"/>
      <c r="J5" s="24"/>
      <c r="K5" s="24"/>
      <c r="L5" s="24"/>
      <c r="M5" s="24"/>
      <c r="N5" s="24"/>
    </row>
    <row r="6" spans="8:8" s="18" ht="18.75" customFormat="1">
      <c r="A6" s="19"/>
      <c r="B6" s="38" t="s">
        <v>80</v>
      </c>
      <c r="C6" s="39" t="s">
        <v>26</v>
      </c>
      <c r="D6" s="40" t="s">
        <v>27</v>
      </c>
      <c r="E6" s="41" t="s">
        <v>81</v>
      </c>
      <c r="F6" s="41"/>
      <c r="G6" s="41"/>
      <c r="H6" s="41"/>
      <c r="I6" s="19"/>
    </row>
    <row r="7" spans="8:8" s="18" ht="18.75" customFormat="1">
      <c r="A7" s="19"/>
      <c r="B7" s="38"/>
      <c r="C7" s="42">
        <v>6.78</v>
      </c>
      <c r="D7" s="43">
        <v>10.17</v>
      </c>
      <c r="E7" s="44" t="s">
        <v>91</v>
      </c>
      <c r="F7" s="44"/>
      <c r="G7" s="44"/>
      <c r="H7" s="44"/>
      <c r="I7" s="19"/>
    </row>
    <row r="8" spans="8:8" s="18" ht="15.75" customFormat="1" customHeight="1">
      <c r="A8" s="19"/>
      <c r="B8" s="45" t="s">
        <v>28</v>
      </c>
      <c r="C8" s="45"/>
      <c r="D8" s="45"/>
      <c r="E8" s="45"/>
      <c r="F8" s="45"/>
      <c r="G8" s="45"/>
      <c r="H8" s="45"/>
      <c r="I8" s="19"/>
    </row>
    <row r="9" spans="8:8" s="18" ht="0.75" customFormat="1" customHeight="1">
      <c r="A9" s="19"/>
      <c r="B9" s="46"/>
      <c r="C9" s="46"/>
      <c r="D9" s="46"/>
      <c r="E9" s="46"/>
      <c r="F9" s="46"/>
      <c r="G9" s="46"/>
      <c r="H9" s="46"/>
      <c r="I9" s="19"/>
    </row>
    <row r="10" spans="8:8" s="18" ht="16.5" customFormat="1">
      <c r="A10" s="19"/>
      <c r="B10" s="47" t="s">
        <v>29</v>
      </c>
      <c r="C10" s="48" t="s">
        <v>26</v>
      </c>
      <c r="D10" s="49"/>
      <c r="E10" s="50" t="s">
        <v>27</v>
      </c>
      <c r="F10" s="50"/>
      <c r="G10" s="47" t="s">
        <v>38</v>
      </c>
      <c r="H10" s="47" t="s">
        <v>32</v>
      </c>
      <c r="I10" s="19"/>
    </row>
    <row r="11" spans="8:8" s="18" ht="34.5" customFormat="1" customHeight="1">
      <c r="A11" s="19"/>
      <c r="B11" s="47"/>
      <c r="C11" s="51" t="s">
        <v>76</v>
      </c>
      <c r="D11" s="51" t="s">
        <v>77</v>
      </c>
      <c r="E11" s="51" t="s">
        <v>76</v>
      </c>
      <c r="F11" s="51" t="s">
        <v>77</v>
      </c>
      <c r="G11" s="47"/>
      <c r="H11" s="47"/>
      <c r="I11" s="19"/>
    </row>
    <row r="12" spans="8:8" s="18" ht="15.75" customFormat="1">
      <c r="A12" s="19"/>
      <c r="B12" s="52" t="s">
        <v>33</v>
      </c>
      <c r="C12" s="53">
        <v>1001.1</v>
      </c>
      <c r="D12" s="53">
        <v>327.5</v>
      </c>
      <c r="E12" s="53">
        <v>965.9</v>
      </c>
      <c r="F12" s="53">
        <v>230.8</v>
      </c>
      <c r="G12" s="54" t="s">
        <v>39</v>
      </c>
      <c r="H12" s="55">
        <f>Sheet2!H6</f>
        <v>6929.0</v>
      </c>
      <c r="I12" s="19"/>
    </row>
    <row r="13" spans="8:8" s="18" ht="15.75" customFormat="1">
      <c r="A13" s="19"/>
      <c r="B13" s="52" t="s">
        <v>34</v>
      </c>
      <c r="C13" s="53">
        <v>200.0</v>
      </c>
      <c r="D13" s="53">
        <v>150.0</v>
      </c>
      <c r="E13" s="53">
        <v>0.0</v>
      </c>
      <c r="F13" s="53">
        <v>0.0</v>
      </c>
      <c r="G13" s="56">
        <f>'DAILY REGESTER'!B35</f>
        <v>1022.0</v>
      </c>
      <c r="H13" s="57"/>
      <c r="I13" s="19"/>
    </row>
    <row r="14" spans="8:8" s="18" ht="15.75" customFormat="1">
      <c r="A14" s="19"/>
      <c r="B14" s="52" t="s">
        <v>35</v>
      </c>
      <c r="C14" s="58">
        <f>SUM(C12:C13)</f>
        <v>1201.1</v>
      </c>
      <c r="D14" s="58">
        <f>SUM(D12:D13)</f>
        <v>477.5</v>
      </c>
      <c r="E14" s="58">
        <f>SUM(E12:E13)</f>
        <v>965.9</v>
      </c>
      <c r="F14" s="58">
        <f>SUM(F12:F13)</f>
        <v>230.8</v>
      </c>
      <c r="G14" s="54" t="s">
        <v>40</v>
      </c>
      <c r="H14" s="55">
        <f>Sheet2!H8</f>
        <v>19567.0</v>
      </c>
      <c r="I14" s="19"/>
    </row>
    <row r="15" spans="8:8" s="18" ht="15.75" customFormat="1">
      <c r="A15" s="19"/>
      <c r="B15" s="52" t="s">
        <v>36</v>
      </c>
      <c r="C15" s="58">
        <f>Sheet2!C9</f>
        <v>64.1</v>
      </c>
      <c r="D15" s="58">
        <f>Sheet2!D9</f>
        <v>38.1</v>
      </c>
      <c r="E15" s="58">
        <f>Sheet2!E9</f>
        <v>175.79999999999998</v>
      </c>
      <c r="F15" s="58">
        <f>Sheet2!F9</f>
        <v>112.8</v>
      </c>
      <c r="G15" s="56">
        <f>'DAILY REGESTER'!C35</f>
        <v>1924.0</v>
      </c>
      <c r="H15" s="57"/>
      <c r="I15" s="19"/>
    </row>
    <row r="16" spans="8:8" s="18" ht="15.0" customFormat="1">
      <c r="A16" s="19"/>
      <c r="B16" s="59" t="s">
        <v>37</v>
      </c>
      <c r="C16" s="60">
        <f>C14-C15</f>
        <v>1137.0</v>
      </c>
      <c r="D16" s="60">
        <f t="shared" si="0" ref="D16:F16">D14-D15</f>
        <v>439.4</v>
      </c>
      <c r="E16" s="60">
        <f t="shared" si="0"/>
        <v>790.0999999999999</v>
      </c>
      <c r="F16" s="60">
        <f t="shared" si="0"/>
        <v>118.00000000000001</v>
      </c>
      <c r="G16" s="54" t="s">
        <v>41</v>
      </c>
      <c r="H16" s="55">
        <f>Sheet2!H10</f>
        <v>26496.0</v>
      </c>
      <c r="I16" s="19"/>
    </row>
    <row r="17" spans="8:8" s="18" ht="15.0" customFormat="1">
      <c r="A17" s="19"/>
      <c r="B17" s="61"/>
      <c r="C17" s="62"/>
      <c r="D17" s="62"/>
      <c r="E17" s="62"/>
      <c r="F17" s="62"/>
      <c r="G17" s="56">
        <f>G13+G15</f>
        <v>2946.0</v>
      </c>
      <c r="H17" s="57"/>
      <c r="I17" s="19"/>
    </row>
    <row r="18" spans="8:8" s="18" ht="3.0" customFormat="1" customHeight="1">
      <c r="A18" s="19"/>
      <c r="B18" s="63"/>
      <c r="C18" s="19"/>
      <c r="D18" s="19"/>
      <c r="E18" s="19"/>
      <c r="F18" s="19"/>
      <c r="G18" s="64"/>
      <c r="H18" s="19"/>
      <c r="I18" s="19"/>
    </row>
    <row r="19" spans="8:8" ht="16.5">
      <c r="G19" s="65"/>
    </row>
    <row r="20" spans="8:8" ht="16.5">
      <c r="G20" s="65"/>
    </row>
    <row r="21" spans="8:8" ht="16.5">
      <c r="G21" s="65"/>
    </row>
    <row r="22" spans="8:8" ht="14.25" customHeight="1">
      <c r="G22" s="18"/>
    </row>
    <row r="23" spans="8:8">
      <c r="G23" s="18"/>
    </row>
    <row r="24" spans="8:8">
      <c r="G24" s="18"/>
    </row>
    <row r="25" spans="8:8">
      <c r="G25" s="18"/>
    </row>
    <row r="26" spans="8:8">
      <c r="G26" s="18"/>
    </row>
    <row r="27" spans="8:8" ht="18.75" hidden="1" customHeight="1">
      <c r="G27" s="18"/>
    </row>
    <row r="28" spans="8:8" ht="15.0" hidden="1">
      <c r="G28" s="18"/>
    </row>
    <row r="29" spans="8:8" ht="16.5" hidden="1">
      <c r="D29" s="66">
        <v>46023.0</v>
      </c>
      <c r="G29" s="18"/>
    </row>
    <row r="30" spans="8:8" ht="16.5" hidden="1">
      <c r="D30" s="66">
        <v>46054.0</v>
      </c>
      <c r="G30" s="18"/>
    </row>
    <row r="31" spans="8:8" ht="16.5" hidden="1">
      <c r="D31" s="66">
        <v>46082.0</v>
      </c>
      <c r="G31" s="18"/>
    </row>
    <row r="32" spans="8:8" ht="16.5" hidden="1">
      <c r="D32" s="66">
        <v>45748.0</v>
      </c>
    </row>
    <row r="33" spans="8:8" ht="16.5" hidden="1">
      <c r="D33" s="66">
        <v>45778.0</v>
      </c>
    </row>
    <row r="34" spans="8:8" ht="16.5" hidden="1">
      <c r="D34" s="66">
        <v>45809.0</v>
      </c>
    </row>
    <row r="35" spans="8:8" ht="16.5" hidden="1">
      <c r="D35" s="66">
        <v>45839.0</v>
      </c>
    </row>
    <row r="36" spans="8:8" ht="16.5" hidden="1">
      <c r="D36" s="66">
        <v>45870.0</v>
      </c>
    </row>
    <row r="37" spans="8:8" ht="16.5" hidden="1">
      <c r="D37" s="66">
        <v>45901.0</v>
      </c>
    </row>
    <row r="38" spans="8:8" ht="16.5" hidden="1">
      <c r="D38" s="66">
        <v>45931.0</v>
      </c>
    </row>
    <row r="39" spans="8:8" ht="16.5" hidden="1">
      <c r="D39" s="66">
        <v>45962.0</v>
      </c>
    </row>
    <row r="40" spans="8:8" ht="16.5" hidden="1">
      <c r="D40" s="66">
        <v>45992.0</v>
      </c>
    </row>
    <row r="41" spans="8:8" ht="16.5" hidden="1">
      <c r="D41" s="67"/>
    </row>
    <row r="42" spans="8:8" ht="16.5" hidden="1">
      <c r="D42" s="67"/>
    </row>
  </sheetData>
  <sheetProtection algorithmName="SHA-512" hashValue="4BgfFSkBMLaQAazNbBGlkyCxxgr08HAIuM7HwsmXbxVO6nISIg3S+uDHMYow+TpM+bMFl4FJu/N73MClpYYuXw==" saltValue="P6AYpRmI24JEdfcuE38B1A==" spinCount="100000" sheet="1" objects="1" scenarios="1"/>
  <mergeCells count="28">
    <mergeCell ref="J2:N5"/>
    <mergeCell ref="C4:D4"/>
    <mergeCell ref="C5:D5"/>
    <mergeCell ref="H14:H15"/>
    <mergeCell ref="B16:B17"/>
    <mergeCell ref="H16:H17"/>
    <mergeCell ref="G10:G11"/>
    <mergeCell ref="C16:C17"/>
    <mergeCell ref="H10:H11"/>
    <mergeCell ref="D16:D17"/>
    <mergeCell ref="E16:E17"/>
    <mergeCell ref="C3:D3"/>
    <mergeCell ref="E6:H6"/>
    <mergeCell ref="B6:B7"/>
    <mergeCell ref="G5:H5"/>
    <mergeCell ref="E5:F5"/>
    <mergeCell ref="E4:F4"/>
    <mergeCell ref="G4:H4"/>
    <mergeCell ref="G3:H3"/>
    <mergeCell ref="C2:H2"/>
    <mergeCell ref="E7:H7"/>
    <mergeCell ref="C10:D10"/>
    <mergeCell ref="E10:F10"/>
    <mergeCell ref="B10:B11"/>
    <mergeCell ref="F16:F17"/>
    <mergeCell ref="H12:H13"/>
    <mergeCell ref="B8:H8"/>
    <mergeCell ref="E3:F3"/>
  </mergeCells>
  <dataValidations count="1">
    <dataValidation allowBlank="1" type="list" errorStyle="stop" showInputMessage="1" showErrorMessage="1" sqref="C5">
      <formula1>$D$29:$D$40</formula1>
    </dataValidation>
  </dataValidation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Y38"/>
  <sheetViews>
    <sheetView workbookViewId="0" topLeftCell="A10" zoomScale="136">
      <selection activeCell="A16" sqref="A16"/>
    </sheetView>
  </sheetViews>
  <sheetFormatPr defaultRowHeight="15.0"/>
  <cols>
    <col min="1" max="1" customWidth="1" width="12.855469" style="68"/>
    <col min="2" max="2" customWidth="1" width="9.0" style="68"/>
    <col min="3" max="3" customWidth="1" width="8.7109375" style="68"/>
    <col min="4" max="4" hidden="1" customWidth="1" width="8.7109375" style="68"/>
    <col min="5" max="5" customWidth="1" width="10.855469" style="68"/>
    <col min="6" max="6" customWidth="1" width="8.855469" style="68"/>
    <col min="7" max="7" customWidth="1" width="10.425781" style="68"/>
    <col min="8" max="8" customWidth="1" width="8.7109375" style="68"/>
    <col min="9" max="9" customWidth="1" width="12.7109375" style="69"/>
    <col min="10" max="10" customWidth="1" width="10.140625" style="70"/>
    <col min="11" max="11" customWidth="1" width="8.7109375" style="68"/>
    <col min="12" max="12" customWidth="1" width="10.140625" style="68"/>
    <col min="13" max="13" customWidth="1" width="9.285156" style="68"/>
    <col min="14" max="14" customWidth="1" width="11.855469" style="69"/>
    <col min="15" max="15" customWidth="1" width="13.285156" style="68"/>
    <col min="16" max="26" hidden="1" customWidth="1" width="8.7109375" style="71"/>
    <col min="27" max="29" customWidth="0" width="8.7109375" style="71"/>
    <col min="30" max="30" customWidth="1" bestFit="1" width="10.140625" style="71"/>
    <col min="31" max="51" customWidth="0" width="8.7109375" style="71"/>
    <col min="52" max="76" customWidth="0" width="8.7109375" style="72"/>
    <col min="77" max="16384" customWidth="0" width="8.7109375" style="68"/>
  </cols>
  <sheetData>
    <row r="1" spans="8:8" ht="25.5" customHeight="1">
      <c r="A1" s="73" t="str">
        <f>'DATA ENTRY'!C2</f>
        <v>         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4"/>
      <c r="Q1" s="74"/>
      <c r="R1" s="74"/>
      <c r="S1" s="74"/>
      <c r="T1" s="74"/>
      <c r="U1" s="74"/>
      <c r="V1" s="75"/>
      <c r="W1" s="75"/>
      <c r="X1" s="75"/>
      <c r="Y1" s="75"/>
      <c r="Z1" s="75"/>
      <c r="AA1" s="76"/>
      <c r="AB1" s="76"/>
      <c r="AC1" s="76"/>
      <c r="AD1" s="76"/>
      <c r="AE1" s="76"/>
    </row>
    <row r="2" spans="8:8" ht="21.75" customHeight="1">
      <c r="A2" s="77" t="s">
        <v>10</v>
      </c>
      <c r="B2" s="78" t="s">
        <v>2</v>
      </c>
      <c r="C2" s="78"/>
      <c r="D2" s="79"/>
      <c r="E2" s="77" t="s">
        <v>7</v>
      </c>
      <c r="F2" s="77"/>
      <c r="G2" s="77"/>
      <c r="H2" s="77"/>
      <c r="I2" s="77"/>
      <c r="J2" s="77" t="s">
        <v>8</v>
      </c>
      <c r="K2" s="77"/>
      <c r="L2" s="77"/>
      <c r="M2" s="77"/>
      <c r="N2" s="77"/>
      <c r="O2" s="80" t="s">
        <v>9</v>
      </c>
      <c r="P2" s="81" t="s">
        <v>18</v>
      </c>
      <c r="Q2" s="81" t="s">
        <v>16</v>
      </c>
      <c r="R2" s="81" t="s">
        <v>19</v>
      </c>
      <c r="S2" s="81" t="s">
        <v>17</v>
      </c>
      <c r="T2" s="81" t="s">
        <v>15</v>
      </c>
      <c r="U2" s="81" t="s">
        <v>20</v>
      </c>
      <c r="V2" s="81" t="s">
        <v>20</v>
      </c>
      <c r="W2" s="75"/>
      <c r="X2" s="75"/>
      <c r="Y2" s="75"/>
      <c r="Z2" s="75"/>
      <c r="AA2" s="82" t="s">
        <v>82</v>
      </c>
      <c r="AB2" s="82"/>
      <c r="AC2" s="82"/>
      <c r="AD2" s="82"/>
      <c r="AE2" s="82"/>
      <c r="AF2" s="83"/>
      <c r="AG2" s="83"/>
      <c r="AH2" s="83"/>
    </row>
    <row r="3" spans="8:8" ht="63.0">
      <c r="A3" s="77"/>
      <c r="B3" s="84" t="s">
        <v>0</v>
      </c>
      <c r="C3" s="84" t="s">
        <v>1</v>
      </c>
      <c r="D3" s="84"/>
      <c r="E3" s="84" t="s">
        <v>3</v>
      </c>
      <c r="F3" s="84" t="s">
        <v>4</v>
      </c>
      <c r="G3" s="85" t="s">
        <v>13</v>
      </c>
      <c r="H3" s="85" t="s">
        <v>5</v>
      </c>
      <c r="I3" s="86" t="s">
        <v>6</v>
      </c>
      <c r="J3" s="84" t="s">
        <v>3</v>
      </c>
      <c r="K3" s="84" t="s">
        <v>4</v>
      </c>
      <c r="L3" s="85" t="s">
        <v>13</v>
      </c>
      <c r="M3" s="85" t="s">
        <v>5</v>
      </c>
      <c r="N3" s="86" t="s">
        <v>6</v>
      </c>
      <c r="O3" s="80"/>
      <c r="P3" s="81"/>
      <c r="Q3" s="81"/>
      <c r="R3" s="81"/>
      <c r="S3" s="81"/>
      <c r="T3" s="81"/>
      <c r="U3" s="81"/>
      <c r="V3" s="81"/>
      <c r="W3" s="75"/>
      <c r="X3" s="75"/>
      <c r="Y3" s="75"/>
      <c r="Z3" s="75"/>
      <c r="AA3" s="87" t="s">
        <v>83</v>
      </c>
      <c r="AB3" s="87"/>
      <c r="AC3" s="87"/>
      <c r="AD3" s="87"/>
      <c r="AE3" s="87"/>
      <c r="AF3" s="83"/>
      <c r="AG3" s="83"/>
      <c r="AH3" s="83"/>
    </row>
    <row r="4" spans="8:8" ht="15.75">
      <c r="A4" s="88">
        <f>'DATA ENTRY'!C5</f>
        <v>45870.0</v>
      </c>
      <c r="B4" s="89">
        <v>56.0</v>
      </c>
      <c r="C4" s="89">
        <v>104.0</v>
      </c>
      <c r="D4" s="90">
        <f>SUM(B4:C4)</f>
        <v>160.0</v>
      </c>
      <c r="E4" s="91">
        <f>'DATA ENTRY'!C12+'DATA ENTRY'!E12</f>
        <v>1967.0</v>
      </c>
      <c r="F4" s="91"/>
      <c r="G4" s="92">
        <f>E4+F4</f>
        <v>1967.0</v>
      </c>
      <c r="H4" s="92">
        <f t="shared" si="0" ref="H4:H34">IF(AND(ISNUMBER(SEARCH("गेहूं",O4))),(B4*100/1000)+(C4*150/1000),0)</f>
        <v>21.2</v>
      </c>
      <c r="I4" s="93">
        <f t="shared" si="1" ref="I4:I35">G4-H4</f>
        <v>1945.8</v>
      </c>
      <c r="J4" s="94">
        <f>'DATA ENTRY'!D12+'DATA ENTRY'!F12</f>
        <v>558.3</v>
      </c>
      <c r="K4" s="91"/>
      <c r="L4" s="92">
        <f>J4+K4</f>
        <v>558.3</v>
      </c>
      <c r="M4" s="92">
        <f t="shared" si="2" ref="M4:M34">IF(AND(ISNUMBER(SEARCH("चावल",O4))),(B4*100/1000)+(C4*150/1000),0)</f>
        <v>0.0</v>
      </c>
      <c r="N4" s="93">
        <f t="shared" si="3" ref="N4:N35">L4-M4</f>
        <v>558.3</v>
      </c>
      <c r="O4" s="95" t="s">
        <v>11</v>
      </c>
      <c r="P4" s="96">
        <f>B4*0.02</f>
        <v>1.12</v>
      </c>
      <c r="Q4" s="96">
        <f>C4*0.03</f>
        <v>3.12</v>
      </c>
      <c r="R4" s="96">
        <f>P4+Q4</f>
        <v>4.24</v>
      </c>
      <c r="S4" s="96">
        <f t="shared" si="4" ref="S4:S34">B4*0.05</f>
        <v>2.8000000000000003</v>
      </c>
      <c r="T4" s="96">
        <f t="shared" si="5" ref="T4:T34">C4*0.075</f>
        <v>7.8</v>
      </c>
      <c r="U4" s="96">
        <f>S4+T4</f>
        <v>10.6</v>
      </c>
      <c r="V4" s="97">
        <f>MROUND(U4,0.1)</f>
        <v>10.600000000000001</v>
      </c>
      <c r="W4" s="98">
        <f>IF(AND(ISNUMBER(SEARCH("गेहूं",O4))),(B4*100/1000),0)</f>
        <v>5.6</v>
      </c>
      <c r="X4" s="98">
        <f>IF(AND(ISNUMBER(SEARCH("गेहूं",O4))),(C4*150/1000),0)</f>
        <v>15.6</v>
      </c>
      <c r="Y4" s="98">
        <f>IF(AND(ISNUMBER(SEARCH("चावल",O4))),(B4*100/1000),0)</f>
        <v>0.0</v>
      </c>
      <c r="Z4" s="98">
        <f>IF(AND(ISNUMBER(SEARCH("चावल",O4))),(C4*150/1000),0)</f>
        <v>0.0</v>
      </c>
      <c r="AA4" s="99"/>
      <c r="AB4" s="99"/>
      <c r="AC4" s="99"/>
      <c r="AD4" s="99"/>
      <c r="AE4" s="99"/>
      <c r="AF4" s="83"/>
      <c r="AG4" s="83"/>
      <c r="AH4" s="83"/>
      <c r="AI4" s="72"/>
    </row>
    <row r="5" spans="8:8" ht="15.75">
      <c r="A5" s="88">
        <f>A4+1</f>
        <v>45871.0</v>
      </c>
      <c r="B5" s="89">
        <v>58.0</v>
      </c>
      <c r="C5" s="89">
        <v>100.0</v>
      </c>
      <c r="D5" s="90">
        <f t="shared" si="6" ref="D5:D35">SUM(B5:C5)</f>
        <v>158.0</v>
      </c>
      <c r="E5" s="92">
        <f>I4</f>
        <v>1945.8</v>
      </c>
      <c r="F5" s="91"/>
      <c r="G5" s="92">
        <f t="shared" si="7" ref="G5:G35">E5+F5</f>
        <v>1945.8</v>
      </c>
      <c r="H5" s="92">
        <f t="shared" si="0"/>
        <v>20.8</v>
      </c>
      <c r="I5" s="93">
        <f t="shared" si="1"/>
        <v>1925.0</v>
      </c>
      <c r="J5" s="100">
        <f>N4</f>
        <v>558.3</v>
      </c>
      <c r="K5" s="91"/>
      <c r="L5" s="92">
        <f t="shared" si="8" ref="L5:L34">J5+K5</f>
        <v>558.3</v>
      </c>
      <c r="M5" s="92">
        <f t="shared" si="2"/>
        <v>0.0</v>
      </c>
      <c r="N5" s="93">
        <f t="shared" si="3"/>
        <v>558.3</v>
      </c>
      <c r="O5" s="95" t="s">
        <v>11</v>
      </c>
      <c r="P5" s="96">
        <f t="shared" si="9" ref="P5:P34">B5*0.02</f>
        <v>1.16</v>
      </c>
      <c r="Q5" s="96">
        <f t="shared" si="10" ref="Q5:Q34">C5*0.03</f>
        <v>3.0</v>
      </c>
      <c r="R5" s="96">
        <f t="shared" si="11" ref="R5:R34">P5+Q5</f>
        <v>4.16</v>
      </c>
      <c r="S5" s="96">
        <f t="shared" si="4"/>
        <v>2.9000000000000004</v>
      </c>
      <c r="T5" s="96">
        <f t="shared" si="5"/>
        <v>7.5</v>
      </c>
      <c r="U5" s="96">
        <f t="shared" si="12" ref="U5:U34">S5+T5</f>
        <v>10.4</v>
      </c>
      <c r="V5" s="97">
        <f t="shared" si="13" ref="V5:V35">MROUND(U5,0.1)</f>
        <v>10.4</v>
      </c>
      <c r="W5" s="98">
        <f t="shared" si="14" ref="W5:W34">IF(AND(ISNUMBER(SEARCH("गेहूं",O5))),(B5*100/1000),0)</f>
        <v>5.8</v>
      </c>
      <c r="X5" s="98">
        <f t="shared" si="15" ref="X5:X34">IF(AND(ISNUMBER(SEARCH("गेहूं",O5))),(C5*150/1000),0)</f>
        <v>15.0</v>
      </c>
      <c r="Y5" s="98">
        <f t="shared" si="16" ref="Y5:Y34">IF(AND(ISNUMBER(SEARCH("चावल",O5))),(B5*100/1000),0)</f>
        <v>0.0</v>
      </c>
      <c r="Z5" s="98">
        <f t="shared" si="17" ref="Z5:Z34">IF(AND(ISNUMBER(SEARCH("चावल",O5))),(C5*150/1000),0)</f>
        <v>0.0</v>
      </c>
      <c r="AA5" s="99"/>
      <c r="AB5" s="99"/>
      <c r="AC5" s="99"/>
      <c r="AD5" s="99"/>
      <c r="AE5" s="99"/>
      <c r="AF5" s="83"/>
      <c r="AG5" s="83"/>
      <c r="AH5" s="83"/>
      <c r="AI5" s="72"/>
    </row>
    <row r="6" spans="8:8" ht="15.75">
      <c r="A6" s="88">
        <f t="shared" si="18" ref="A6:A34">A5+1</f>
        <v>45872.0</v>
      </c>
      <c r="B6" s="89">
        <v>0.0</v>
      </c>
      <c r="C6" s="89">
        <v>0.0</v>
      </c>
      <c r="D6" s="90">
        <f t="shared" si="6"/>
        <v>0.0</v>
      </c>
      <c r="E6" s="92">
        <f t="shared" si="19" ref="E6:E34">I5</f>
        <v>1925.0</v>
      </c>
      <c r="F6" s="91"/>
      <c r="G6" s="92">
        <f t="shared" si="7"/>
        <v>1925.0</v>
      </c>
      <c r="H6" s="92">
        <f t="shared" si="0"/>
        <v>0.0</v>
      </c>
      <c r="I6" s="93">
        <f t="shared" si="1"/>
        <v>1925.0</v>
      </c>
      <c r="J6" s="100">
        <f>N5</f>
        <v>558.3</v>
      </c>
      <c r="K6" s="91"/>
      <c r="L6" s="92">
        <f t="shared" si="8"/>
        <v>558.3</v>
      </c>
      <c r="M6" s="92">
        <f t="shared" si="2"/>
        <v>0.0</v>
      </c>
      <c r="N6" s="93">
        <f t="shared" si="3"/>
        <v>558.3</v>
      </c>
      <c r="O6" s="95" t="s">
        <v>12</v>
      </c>
      <c r="P6" s="96">
        <f t="shared" si="9"/>
        <v>0.0</v>
      </c>
      <c r="Q6" s="96">
        <f t="shared" si="10"/>
        <v>0.0</v>
      </c>
      <c r="R6" s="96">
        <f t="shared" si="11"/>
        <v>0.0</v>
      </c>
      <c r="S6" s="96">
        <f t="shared" si="4"/>
        <v>0.0</v>
      </c>
      <c r="T6" s="96">
        <f t="shared" si="5"/>
        <v>0.0</v>
      </c>
      <c r="U6" s="96">
        <f t="shared" si="12"/>
        <v>0.0</v>
      </c>
      <c r="V6" s="97">
        <f t="shared" si="13"/>
        <v>0.0</v>
      </c>
      <c r="W6" s="98">
        <f t="shared" si="14"/>
        <v>0.0</v>
      </c>
      <c r="X6" s="98">
        <f t="shared" si="15"/>
        <v>0.0</v>
      </c>
      <c r="Y6" s="98">
        <f t="shared" si="16"/>
        <v>0.0</v>
      </c>
      <c r="Z6" s="98">
        <f t="shared" si="17"/>
        <v>0.0</v>
      </c>
      <c r="AA6" s="99"/>
      <c r="AB6" s="99"/>
      <c r="AC6" s="99"/>
      <c r="AD6" s="99"/>
      <c r="AE6" s="99"/>
      <c r="AF6" s="83"/>
      <c r="AG6" s="83"/>
      <c r="AH6" s="83"/>
      <c r="AI6" s="72"/>
    </row>
    <row r="7" spans="8:8" ht="15.75">
      <c r="A7" s="88">
        <f t="shared" si="18"/>
        <v>45873.0</v>
      </c>
      <c r="B7" s="89">
        <v>54.0</v>
      </c>
      <c r="C7" s="89">
        <v>91.0</v>
      </c>
      <c r="D7" s="90">
        <f t="shared" si="6"/>
        <v>145.0</v>
      </c>
      <c r="E7" s="92">
        <f t="shared" si="19"/>
        <v>1925.0</v>
      </c>
      <c r="F7" s="91"/>
      <c r="G7" s="92">
        <f t="shared" si="7"/>
        <v>1925.0</v>
      </c>
      <c r="H7" s="92">
        <f t="shared" si="0"/>
        <v>19.05</v>
      </c>
      <c r="I7" s="93">
        <f t="shared" si="1"/>
        <v>1905.95</v>
      </c>
      <c r="J7" s="100">
        <f t="shared" si="20" ref="J7:J34">N6</f>
        <v>558.3</v>
      </c>
      <c r="K7" s="91"/>
      <c r="L7" s="92">
        <f t="shared" si="8"/>
        <v>558.3</v>
      </c>
      <c r="M7" s="92">
        <f t="shared" si="2"/>
        <v>0.0</v>
      </c>
      <c r="N7" s="93">
        <f t="shared" si="3"/>
        <v>558.3</v>
      </c>
      <c r="O7" s="95" t="s">
        <v>11</v>
      </c>
      <c r="P7" s="96">
        <f t="shared" si="9"/>
        <v>1.08</v>
      </c>
      <c r="Q7" s="96">
        <f t="shared" si="10"/>
        <v>2.73</v>
      </c>
      <c r="R7" s="96">
        <f t="shared" si="11"/>
        <v>3.81</v>
      </c>
      <c r="S7" s="96">
        <f t="shared" si="4"/>
        <v>2.7</v>
      </c>
      <c r="T7" s="96">
        <f t="shared" si="5"/>
        <v>6.825</v>
      </c>
      <c r="U7" s="96">
        <f t="shared" si="12"/>
        <v>9.525</v>
      </c>
      <c r="V7" s="97">
        <f t="shared" si="13"/>
        <v>9.5</v>
      </c>
      <c r="W7" s="98">
        <f t="shared" si="14"/>
        <v>5.4</v>
      </c>
      <c r="X7" s="98">
        <f t="shared" si="15"/>
        <v>13.65</v>
      </c>
      <c r="Y7" s="98">
        <f t="shared" si="16"/>
        <v>0.0</v>
      </c>
      <c r="Z7" s="98">
        <f t="shared" si="17"/>
        <v>0.0</v>
      </c>
      <c r="AA7" s="99"/>
      <c r="AB7" s="99"/>
      <c r="AC7" s="99"/>
      <c r="AD7" s="99"/>
      <c r="AE7" s="99"/>
      <c r="AF7" s="83"/>
      <c r="AG7" s="83"/>
      <c r="AH7" s="83"/>
      <c r="AI7" s="72"/>
    </row>
    <row r="8" spans="8:8" s="101" ht="15.75" customFormat="1">
      <c r="A8" s="88">
        <f t="shared" si="18"/>
        <v>45874.0</v>
      </c>
      <c r="B8" s="89">
        <v>59.0</v>
      </c>
      <c r="C8" s="89">
        <v>108.0</v>
      </c>
      <c r="D8" s="90">
        <f t="shared" si="6"/>
        <v>167.0</v>
      </c>
      <c r="E8" s="92">
        <f t="shared" si="19"/>
        <v>1905.95</v>
      </c>
      <c r="F8" s="91"/>
      <c r="G8" s="92">
        <f t="shared" si="7"/>
        <v>1905.95</v>
      </c>
      <c r="H8" s="92">
        <f t="shared" si="0"/>
        <v>0.0</v>
      </c>
      <c r="I8" s="93">
        <f t="shared" si="1"/>
        <v>1905.95</v>
      </c>
      <c r="J8" s="100">
        <f t="shared" si="20"/>
        <v>558.3</v>
      </c>
      <c r="K8" s="91"/>
      <c r="L8" s="92">
        <f t="shared" si="8"/>
        <v>558.3</v>
      </c>
      <c r="M8" s="92">
        <f t="shared" si="2"/>
        <v>22.1</v>
      </c>
      <c r="N8" s="93">
        <f t="shared" si="3"/>
        <v>536.1999999999999</v>
      </c>
      <c r="O8" s="95" t="s">
        <v>12</v>
      </c>
      <c r="P8" s="96">
        <f t="shared" si="9"/>
        <v>1.18</v>
      </c>
      <c r="Q8" s="96">
        <f t="shared" si="10"/>
        <v>3.2399999999999998</v>
      </c>
      <c r="R8" s="96">
        <f t="shared" si="11"/>
        <v>4.42</v>
      </c>
      <c r="S8" s="96">
        <f t="shared" si="4"/>
        <v>2.95</v>
      </c>
      <c r="T8" s="96">
        <f t="shared" si="5"/>
        <v>8.1</v>
      </c>
      <c r="U8" s="96">
        <f t="shared" si="12"/>
        <v>11.05</v>
      </c>
      <c r="V8" s="97">
        <f t="shared" si="13"/>
        <v>11.100000000000001</v>
      </c>
      <c r="W8" s="98">
        <f t="shared" si="14"/>
        <v>0.0</v>
      </c>
      <c r="X8" s="98">
        <f t="shared" si="15"/>
        <v>0.0</v>
      </c>
      <c r="Y8" s="98">
        <f t="shared" si="16"/>
        <v>5.9</v>
      </c>
      <c r="Z8" s="98">
        <f t="shared" si="17"/>
        <v>16.2</v>
      </c>
      <c r="AA8" s="102"/>
      <c r="AB8" s="102"/>
      <c r="AC8" s="102"/>
      <c r="AD8" s="102"/>
      <c r="AE8" s="102"/>
      <c r="AF8" s="72"/>
      <c r="AG8" s="72"/>
      <c r="AH8" s="72"/>
      <c r="AI8" s="72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</row>
    <row r="9" spans="8:8" ht="15.75">
      <c r="A9" s="88">
        <f>A8+1</f>
        <v>45875.0</v>
      </c>
      <c r="B9" s="103">
        <v>0.0</v>
      </c>
      <c r="C9" s="103">
        <v>0.0</v>
      </c>
      <c r="D9" s="90">
        <f t="shared" si="6"/>
        <v>0.0</v>
      </c>
      <c r="E9" s="92">
        <f t="shared" si="19"/>
        <v>1905.95</v>
      </c>
      <c r="F9" s="91"/>
      <c r="G9" s="92">
        <f t="shared" si="7"/>
        <v>1905.95</v>
      </c>
      <c r="H9" s="92">
        <f t="shared" si="0"/>
        <v>0.0</v>
      </c>
      <c r="I9" s="93">
        <f t="shared" si="1"/>
        <v>1905.95</v>
      </c>
      <c r="J9" s="100">
        <f t="shared" si="20"/>
        <v>536.1999999999999</v>
      </c>
      <c r="K9" s="91"/>
      <c r="L9" s="92">
        <f t="shared" si="8"/>
        <v>536.2</v>
      </c>
      <c r="M9" s="92">
        <f t="shared" si="2"/>
        <v>0.0</v>
      </c>
      <c r="N9" s="93">
        <f t="shared" si="3"/>
        <v>536.2</v>
      </c>
      <c r="O9" s="95" t="s">
        <v>11</v>
      </c>
      <c r="P9" s="96">
        <f t="shared" si="9"/>
        <v>0.0</v>
      </c>
      <c r="Q9" s="96">
        <f t="shared" si="10"/>
        <v>0.0</v>
      </c>
      <c r="R9" s="96">
        <f t="shared" si="11"/>
        <v>0.0</v>
      </c>
      <c r="S9" s="96">
        <f t="shared" si="4"/>
        <v>0.0</v>
      </c>
      <c r="T9" s="96">
        <f t="shared" si="5"/>
        <v>0.0</v>
      </c>
      <c r="U9" s="96">
        <f t="shared" si="12"/>
        <v>0.0</v>
      </c>
      <c r="V9" s="97">
        <f t="shared" si="13"/>
        <v>0.0</v>
      </c>
      <c r="W9" s="98">
        <f t="shared" si="14"/>
        <v>0.0</v>
      </c>
      <c r="X9" s="98">
        <f t="shared" si="15"/>
        <v>0.0</v>
      </c>
      <c r="Y9" s="98">
        <f t="shared" si="16"/>
        <v>0.0</v>
      </c>
      <c r="Z9" s="98">
        <f t="shared" si="17"/>
        <v>0.0</v>
      </c>
      <c r="AA9" s="102"/>
      <c r="AB9" s="102"/>
      <c r="AC9" s="102"/>
      <c r="AD9" s="102"/>
      <c r="AE9" s="102"/>
      <c r="AF9" s="72"/>
      <c r="AG9" s="72"/>
      <c r="AH9" s="72"/>
      <c r="AI9" s="72"/>
    </row>
    <row r="10" spans="8:8" ht="15.75">
      <c r="A10" s="88">
        <f t="shared" si="18"/>
        <v>45876.0</v>
      </c>
      <c r="B10" s="89">
        <v>36.0</v>
      </c>
      <c r="C10" s="89">
        <v>98.0</v>
      </c>
      <c r="D10" s="90">
        <f t="shared" si="6"/>
        <v>134.0</v>
      </c>
      <c r="E10" s="92">
        <f t="shared" si="19"/>
        <v>1905.95</v>
      </c>
      <c r="F10" s="91"/>
      <c r="G10" s="92">
        <f t="shared" si="7"/>
        <v>1905.95</v>
      </c>
      <c r="H10" s="92">
        <f t="shared" si="0"/>
        <v>0.0</v>
      </c>
      <c r="I10" s="93">
        <f t="shared" si="1"/>
        <v>1905.95</v>
      </c>
      <c r="J10" s="100">
        <f t="shared" si="20"/>
        <v>536.2</v>
      </c>
      <c r="K10" s="91"/>
      <c r="L10" s="92">
        <f t="shared" si="8"/>
        <v>536.2</v>
      </c>
      <c r="M10" s="92">
        <f t="shared" si="2"/>
        <v>18.3</v>
      </c>
      <c r="N10" s="93">
        <f t="shared" si="3"/>
        <v>517.9000000000001</v>
      </c>
      <c r="O10" s="95" t="s">
        <v>12</v>
      </c>
      <c r="P10" s="96">
        <f t="shared" si="9"/>
        <v>0.72</v>
      </c>
      <c r="Q10" s="96">
        <f t="shared" si="10"/>
        <v>2.94</v>
      </c>
      <c r="R10" s="96">
        <f t="shared" si="11"/>
        <v>3.66</v>
      </c>
      <c r="S10" s="96">
        <f t="shared" si="4"/>
        <v>1.8</v>
      </c>
      <c r="T10" s="96">
        <f t="shared" si="5"/>
        <v>7.35</v>
      </c>
      <c r="U10" s="96">
        <f t="shared" si="12"/>
        <v>9.15</v>
      </c>
      <c r="V10" s="97">
        <f t="shared" si="13"/>
        <v>9.200000000000001</v>
      </c>
      <c r="W10" s="98">
        <f t="shared" si="14"/>
        <v>0.0</v>
      </c>
      <c r="X10" s="98">
        <f t="shared" si="15"/>
        <v>0.0</v>
      </c>
      <c r="Y10" s="98">
        <f t="shared" si="16"/>
        <v>3.6</v>
      </c>
      <c r="Z10" s="98">
        <f t="shared" si="17"/>
        <v>14.7</v>
      </c>
      <c r="AA10" s="102"/>
      <c r="AB10" s="102"/>
      <c r="AC10" s="102"/>
      <c r="AD10" s="102"/>
      <c r="AE10" s="102"/>
      <c r="AF10" s="72"/>
      <c r="AG10" s="72"/>
      <c r="AH10" s="72"/>
      <c r="AI10" s="72"/>
    </row>
    <row r="11" spans="8:8" ht="15.75">
      <c r="A11" s="88">
        <f t="shared" si="18"/>
        <v>45877.0</v>
      </c>
      <c r="B11" s="89">
        <v>54.0</v>
      </c>
      <c r="C11" s="89">
        <v>101.0</v>
      </c>
      <c r="D11" s="90">
        <f t="shared" si="6"/>
        <v>155.0</v>
      </c>
      <c r="E11" s="92">
        <f t="shared" si="19"/>
        <v>1905.95</v>
      </c>
      <c r="F11" s="91"/>
      <c r="G11" s="92">
        <f t="shared" si="7"/>
        <v>1905.95</v>
      </c>
      <c r="H11" s="92">
        <f t="shared" si="0"/>
        <v>20.55</v>
      </c>
      <c r="I11" s="93">
        <f t="shared" si="1"/>
        <v>1885.4</v>
      </c>
      <c r="J11" s="100">
        <f t="shared" si="20"/>
        <v>517.9000000000001</v>
      </c>
      <c r="K11" s="91"/>
      <c r="L11" s="92">
        <f t="shared" si="8"/>
        <v>517.9</v>
      </c>
      <c r="M11" s="92">
        <f t="shared" si="2"/>
        <v>0.0</v>
      </c>
      <c r="N11" s="93">
        <f t="shared" si="3"/>
        <v>517.9</v>
      </c>
      <c r="O11" s="95" t="s">
        <v>11</v>
      </c>
      <c r="P11" s="96">
        <f t="shared" si="9"/>
        <v>1.08</v>
      </c>
      <c r="Q11" s="96">
        <f t="shared" si="10"/>
        <v>3.03</v>
      </c>
      <c r="R11" s="96">
        <f t="shared" si="11"/>
        <v>4.109999999999999</v>
      </c>
      <c r="S11" s="96">
        <f t="shared" si="4"/>
        <v>2.7</v>
      </c>
      <c r="T11" s="96">
        <f t="shared" si="5"/>
        <v>7.574999999999999</v>
      </c>
      <c r="U11" s="96">
        <f t="shared" si="12"/>
        <v>10.275</v>
      </c>
      <c r="V11" s="97">
        <f t="shared" si="13"/>
        <v>10.3</v>
      </c>
      <c r="W11" s="98">
        <f t="shared" si="14"/>
        <v>5.4</v>
      </c>
      <c r="X11" s="98">
        <f t="shared" si="15"/>
        <v>15.15</v>
      </c>
      <c r="Y11" s="98">
        <f t="shared" si="16"/>
        <v>0.0</v>
      </c>
      <c r="Z11" s="98">
        <f t="shared" si="17"/>
        <v>0.0</v>
      </c>
      <c r="AA11" s="102"/>
      <c r="AB11" s="102"/>
      <c r="AC11" s="102"/>
      <c r="AD11" s="102"/>
      <c r="AE11" s="102"/>
      <c r="AF11" s="72"/>
      <c r="AG11" s="72"/>
      <c r="AH11" s="72"/>
      <c r="AI11" s="72"/>
    </row>
    <row r="12" spans="8:8" ht="15.75">
      <c r="A12" s="88">
        <f t="shared" si="18"/>
        <v>45878.0</v>
      </c>
      <c r="B12" s="89">
        <v>0.0</v>
      </c>
      <c r="C12" s="89">
        <v>0.0</v>
      </c>
      <c r="D12" s="90">
        <f t="shared" si="6"/>
        <v>0.0</v>
      </c>
      <c r="E12" s="92">
        <f t="shared" si="19"/>
        <v>1885.4</v>
      </c>
      <c r="F12" s="91"/>
      <c r="G12" s="92">
        <f t="shared" si="7"/>
        <v>1885.4</v>
      </c>
      <c r="H12" s="92">
        <f t="shared" si="0"/>
        <v>0.0</v>
      </c>
      <c r="I12" s="93">
        <f t="shared" si="1"/>
        <v>1885.4</v>
      </c>
      <c r="J12" s="100">
        <f t="shared" si="20"/>
        <v>517.9</v>
      </c>
      <c r="K12" s="91"/>
      <c r="L12" s="92">
        <f t="shared" si="8"/>
        <v>517.9</v>
      </c>
      <c r="M12" s="92">
        <f t="shared" si="2"/>
        <v>0.0</v>
      </c>
      <c r="N12" s="93">
        <f t="shared" si="3"/>
        <v>517.9</v>
      </c>
      <c r="O12" s="95" t="s">
        <v>11</v>
      </c>
      <c r="P12" s="96">
        <f t="shared" si="9"/>
        <v>0.0</v>
      </c>
      <c r="Q12" s="96">
        <f t="shared" si="10"/>
        <v>0.0</v>
      </c>
      <c r="R12" s="96">
        <f t="shared" si="11"/>
        <v>0.0</v>
      </c>
      <c r="S12" s="96">
        <f t="shared" si="4"/>
        <v>0.0</v>
      </c>
      <c r="T12" s="96">
        <f t="shared" si="5"/>
        <v>0.0</v>
      </c>
      <c r="U12" s="96">
        <f t="shared" si="12"/>
        <v>0.0</v>
      </c>
      <c r="V12" s="97">
        <f t="shared" si="13"/>
        <v>0.0</v>
      </c>
      <c r="W12" s="98">
        <f t="shared" si="14"/>
        <v>0.0</v>
      </c>
      <c r="X12" s="98">
        <f t="shared" si="15"/>
        <v>0.0</v>
      </c>
      <c r="Y12" s="98">
        <f t="shared" si="16"/>
        <v>0.0</v>
      </c>
      <c r="Z12" s="98">
        <f t="shared" si="17"/>
        <v>0.0</v>
      </c>
      <c r="AA12" s="102"/>
      <c r="AB12" s="102"/>
      <c r="AC12" s="102"/>
      <c r="AD12" s="102"/>
      <c r="AE12" s="102"/>
      <c r="AF12" s="72"/>
      <c r="AG12" s="72"/>
      <c r="AH12" s="72"/>
      <c r="AI12" s="72"/>
    </row>
    <row r="13" spans="8:8" s="101" ht="15.75" customFormat="1">
      <c r="A13" s="88">
        <f t="shared" si="18"/>
        <v>45879.0</v>
      </c>
      <c r="B13" s="89">
        <v>0.0</v>
      </c>
      <c r="C13" s="89">
        <v>0.0</v>
      </c>
      <c r="D13" s="90">
        <f t="shared" si="6"/>
        <v>0.0</v>
      </c>
      <c r="E13" s="92">
        <f t="shared" si="19"/>
        <v>1885.4</v>
      </c>
      <c r="F13" s="91"/>
      <c r="G13" s="92">
        <f t="shared" si="7"/>
        <v>1885.4</v>
      </c>
      <c r="H13" s="92">
        <f t="shared" si="0"/>
        <v>0.0</v>
      </c>
      <c r="I13" s="93">
        <f t="shared" si="1"/>
        <v>1885.4</v>
      </c>
      <c r="J13" s="100">
        <f t="shared" si="20"/>
        <v>517.9</v>
      </c>
      <c r="K13" s="91"/>
      <c r="L13" s="92">
        <f t="shared" si="8"/>
        <v>517.9</v>
      </c>
      <c r="M13" s="92">
        <f t="shared" si="2"/>
        <v>0.0</v>
      </c>
      <c r="N13" s="93">
        <f t="shared" si="3"/>
        <v>517.9</v>
      </c>
      <c r="O13" s="95" t="s">
        <v>12</v>
      </c>
      <c r="P13" s="96">
        <f t="shared" si="9"/>
        <v>0.0</v>
      </c>
      <c r="Q13" s="96">
        <f t="shared" si="10"/>
        <v>0.0</v>
      </c>
      <c r="R13" s="96">
        <f t="shared" si="11"/>
        <v>0.0</v>
      </c>
      <c r="S13" s="96">
        <f t="shared" si="4"/>
        <v>0.0</v>
      </c>
      <c r="T13" s="96">
        <f t="shared" si="5"/>
        <v>0.0</v>
      </c>
      <c r="U13" s="96">
        <f t="shared" si="12"/>
        <v>0.0</v>
      </c>
      <c r="V13" s="97">
        <f t="shared" si="13"/>
        <v>0.0</v>
      </c>
      <c r="W13" s="98">
        <f t="shared" si="14"/>
        <v>0.0</v>
      </c>
      <c r="X13" s="98">
        <f t="shared" si="15"/>
        <v>0.0</v>
      </c>
      <c r="Y13" s="98">
        <f t="shared" si="16"/>
        <v>0.0</v>
      </c>
      <c r="Z13" s="98">
        <f t="shared" si="17"/>
        <v>0.0</v>
      </c>
      <c r="AA13" s="102"/>
      <c r="AB13" s="102"/>
      <c r="AC13" s="102"/>
      <c r="AD13" s="102"/>
      <c r="AE13" s="102"/>
      <c r="AF13" s="72"/>
      <c r="AG13" s="72"/>
      <c r="AH13" s="72"/>
      <c r="AI13" s="72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</row>
    <row r="14" spans="8:8" ht="15.75">
      <c r="A14" s="88">
        <f t="shared" si="18"/>
        <v>45880.0</v>
      </c>
      <c r="B14" s="89">
        <v>39.0</v>
      </c>
      <c r="C14" s="89">
        <v>69.0</v>
      </c>
      <c r="D14" s="90">
        <f t="shared" si="6"/>
        <v>108.0</v>
      </c>
      <c r="E14" s="92">
        <f t="shared" si="19"/>
        <v>1885.4</v>
      </c>
      <c r="F14" s="91"/>
      <c r="G14" s="92">
        <f t="shared" si="7"/>
        <v>1885.4</v>
      </c>
      <c r="H14" s="92">
        <f t="shared" si="0"/>
        <v>14.25</v>
      </c>
      <c r="I14" s="93">
        <f t="shared" si="1"/>
        <v>1871.15</v>
      </c>
      <c r="J14" s="100">
        <f t="shared" si="20"/>
        <v>517.9</v>
      </c>
      <c r="K14" s="91"/>
      <c r="L14" s="92">
        <f t="shared" si="8"/>
        <v>517.9</v>
      </c>
      <c r="M14" s="92">
        <f t="shared" si="2"/>
        <v>0.0</v>
      </c>
      <c r="N14" s="93">
        <f t="shared" si="3"/>
        <v>517.9</v>
      </c>
      <c r="O14" s="95" t="s">
        <v>11</v>
      </c>
      <c r="P14" s="96">
        <f t="shared" si="9"/>
        <v>0.78</v>
      </c>
      <c r="Q14" s="96">
        <f t="shared" si="10"/>
        <v>2.07</v>
      </c>
      <c r="R14" s="96">
        <f t="shared" si="11"/>
        <v>2.8499999999999996</v>
      </c>
      <c r="S14" s="96">
        <f t="shared" si="4"/>
        <v>1.9500000000000002</v>
      </c>
      <c r="T14" s="96">
        <f t="shared" si="5"/>
        <v>5.175</v>
      </c>
      <c r="U14" s="96">
        <f t="shared" si="12"/>
        <v>7.125</v>
      </c>
      <c r="V14" s="97">
        <f t="shared" si="13"/>
        <v>7.1000000000000005</v>
      </c>
      <c r="W14" s="98">
        <f t="shared" si="14"/>
        <v>3.9</v>
      </c>
      <c r="X14" s="98">
        <f t="shared" si="15"/>
        <v>10.35</v>
      </c>
      <c r="Y14" s="98">
        <f t="shared" si="16"/>
        <v>0.0</v>
      </c>
      <c r="Z14" s="98">
        <f t="shared" si="17"/>
        <v>0.0</v>
      </c>
      <c r="AA14" s="102"/>
      <c r="AB14" s="102"/>
      <c r="AC14" s="102"/>
      <c r="AD14" s="102"/>
      <c r="AE14" s="102"/>
      <c r="AF14" s="72"/>
      <c r="AG14" s="72"/>
      <c r="AH14" s="72"/>
      <c r="AI14" s="72"/>
    </row>
    <row r="15" spans="8:8" s="101" ht="15.75" customFormat="1">
      <c r="A15" s="88">
        <f>A14+1</f>
        <v>45881.0</v>
      </c>
      <c r="B15" s="89">
        <v>52.0</v>
      </c>
      <c r="C15" s="89">
        <v>103.0</v>
      </c>
      <c r="D15" s="90">
        <f t="shared" si="6"/>
        <v>155.0</v>
      </c>
      <c r="E15" s="92">
        <f t="shared" si="19"/>
        <v>1871.15</v>
      </c>
      <c r="F15" s="91"/>
      <c r="G15" s="92">
        <f t="shared" si="7"/>
        <v>1871.15</v>
      </c>
      <c r="H15" s="92">
        <f t="shared" si="0"/>
        <v>0.0</v>
      </c>
      <c r="I15" s="93">
        <f t="shared" si="1"/>
        <v>1871.15</v>
      </c>
      <c r="J15" s="100">
        <f t="shared" si="20"/>
        <v>517.9</v>
      </c>
      <c r="K15" s="91"/>
      <c r="L15" s="92">
        <f t="shared" si="8"/>
        <v>517.9</v>
      </c>
      <c r="M15" s="92">
        <f t="shared" si="2"/>
        <v>20.65</v>
      </c>
      <c r="N15" s="93">
        <f t="shared" si="3"/>
        <v>497.25</v>
      </c>
      <c r="O15" s="95" t="s">
        <v>12</v>
      </c>
      <c r="P15" s="96">
        <f t="shared" si="9"/>
        <v>1.04</v>
      </c>
      <c r="Q15" s="96">
        <f t="shared" si="10"/>
        <v>3.09</v>
      </c>
      <c r="R15" s="96">
        <f t="shared" si="11"/>
        <v>4.13</v>
      </c>
      <c r="S15" s="96">
        <f t="shared" si="4"/>
        <v>2.6</v>
      </c>
      <c r="T15" s="96">
        <f t="shared" si="5"/>
        <v>7.725</v>
      </c>
      <c r="U15" s="96">
        <f t="shared" si="12"/>
        <v>10.325</v>
      </c>
      <c r="V15" s="97">
        <f t="shared" si="13"/>
        <v>10.3</v>
      </c>
      <c r="W15" s="98">
        <f t="shared" si="14"/>
        <v>0.0</v>
      </c>
      <c r="X15" s="98">
        <f t="shared" si="15"/>
        <v>0.0</v>
      </c>
      <c r="Y15" s="98">
        <f t="shared" si="16"/>
        <v>5.2</v>
      </c>
      <c r="Z15" s="98">
        <f t="shared" si="17"/>
        <v>15.45</v>
      </c>
      <c r="AA15" s="102"/>
      <c r="AB15" s="102"/>
      <c r="AC15" s="102"/>
      <c r="AD15" s="102"/>
      <c r="AE15" s="102"/>
      <c r="AF15" s="72"/>
      <c r="AG15" s="72"/>
      <c r="AH15" s="72"/>
      <c r="AI15" s="72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</row>
    <row r="16" spans="8:8" ht="15.75">
      <c r="A16" s="88">
        <f t="shared" si="18"/>
        <v>45882.0</v>
      </c>
      <c r="B16" s="103">
        <v>61.0</v>
      </c>
      <c r="C16" s="103">
        <v>116.0</v>
      </c>
      <c r="D16" s="90">
        <f t="shared" si="6"/>
        <v>177.0</v>
      </c>
      <c r="E16" s="92">
        <f t="shared" si="19"/>
        <v>1871.15</v>
      </c>
      <c r="F16" s="91"/>
      <c r="G16" s="92">
        <f t="shared" si="7"/>
        <v>1871.15</v>
      </c>
      <c r="H16" s="92">
        <f t="shared" si="0"/>
        <v>23.5</v>
      </c>
      <c r="I16" s="93">
        <f t="shared" si="1"/>
        <v>1847.65</v>
      </c>
      <c r="J16" s="100">
        <f t="shared" si="20"/>
        <v>497.25</v>
      </c>
      <c r="K16" s="91"/>
      <c r="L16" s="92">
        <f t="shared" si="8"/>
        <v>497.25</v>
      </c>
      <c r="M16" s="92">
        <f t="shared" si="2"/>
        <v>0.0</v>
      </c>
      <c r="N16" s="93">
        <f t="shared" si="3"/>
        <v>497.25</v>
      </c>
      <c r="O16" s="95" t="s">
        <v>11</v>
      </c>
      <c r="P16" s="96">
        <f t="shared" si="9"/>
        <v>1.22</v>
      </c>
      <c r="Q16" s="96">
        <f t="shared" si="10"/>
        <v>3.48</v>
      </c>
      <c r="R16" s="96">
        <f t="shared" si="11"/>
        <v>4.7</v>
      </c>
      <c r="S16" s="96">
        <f t="shared" si="4"/>
        <v>3.0500000000000003</v>
      </c>
      <c r="T16" s="96">
        <f t="shared" si="5"/>
        <v>8.7</v>
      </c>
      <c r="U16" s="96">
        <f t="shared" si="12"/>
        <v>11.75</v>
      </c>
      <c r="V16" s="97">
        <f t="shared" si="13"/>
        <v>11.8</v>
      </c>
      <c r="W16" s="98">
        <f t="shared" si="14"/>
        <v>6.1</v>
      </c>
      <c r="X16" s="98">
        <f t="shared" si="15"/>
        <v>17.4</v>
      </c>
      <c r="Y16" s="98">
        <f t="shared" si="16"/>
        <v>0.0</v>
      </c>
      <c r="Z16" s="98">
        <f t="shared" si="17"/>
        <v>0.0</v>
      </c>
      <c r="AA16" s="102"/>
      <c r="AB16" s="102"/>
      <c r="AC16" s="102"/>
      <c r="AD16" s="102"/>
      <c r="AE16" s="102"/>
      <c r="AF16" s="72"/>
      <c r="AG16" s="72"/>
      <c r="AH16" s="72"/>
      <c r="AI16" s="72"/>
    </row>
    <row r="17" spans="8:8" ht="15.75">
      <c r="A17" s="88">
        <f t="shared" si="18"/>
        <v>45883.0</v>
      </c>
      <c r="B17" s="89">
        <v>55.0</v>
      </c>
      <c r="C17" s="89">
        <v>114.0</v>
      </c>
      <c r="D17" s="90">
        <f t="shared" si="6"/>
        <v>169.0</v>
      </c>
      <c r="E17" s="92">
        <f t="shared" si="19"/>
        <v>1847.65</v>
      </c>
      <c r="F17" s="91"/>
      <c r="G17" s="92">
        <f t="shared" si="7"/>
        <v>1847.65</v>
      </c>
      <c r="H17" s="92">
        <f t="shared" si="0"/>
        <v>0.0</v>
      </c>
      <c r="I17" s="93">
        <f t="shared" si="1"/>
        <v>1847.65</v>
      </c>
      <c r="J17" s="100">
        <f t="shared" si="20"/>
        <v>497.25</v>
      </c>
      <c r="K17" s="91"/>
      <c r="L17" s="92">
        <f t="shared" si="8"/>
        <v>497.25</v>
      </c>
      <c r="M17" s="92">
        <f t="shared" si="2"/>
        <v>22.6</v>
      </c>
      <c r="N17" s="93">
        <f t="shared" si="3"/>
        <v>474.65</v>
      </c>
      <c r="O17" s="95" t="s">
        <v>12</v>
      </c>
      <c r="P17" s="96">
        <f t="shared" si="9"/>
        <v>1.1</v>
      </c>
      <c r="Q17" s="96">
        <f t="shared" si="10"/>
        <v>3.42</v>
      </c>
      <c r="R17" s="96">
        <f t="shared" si="11"/>
        <v>4.52</v>
      </c>
      <c r="S17" s="96">
        <f t="shared" si="4"/>
        <v>2.75</v>
      </c>
      <c r="T17" s="96">
        <f t="shared" si="5"/>
        <v>8.549999999999999</v>
      </c>
      <c r="U17" s="96">
        <f t="shared" si="12"/>
        <v>11.3</v>
      </c>
      <c r="V17" s="97">
        <f t="shared" si="13"/>
        <v>11.3</v>
      </c>
      <c r="W17" s="98">
        <f t="shared" si="14"/>
        <v>0.0</v>
      </c>
      <c r="X17" s="98">
        <f t="shared" si="15"/>
        <v>0.0</v>
      </c>
      <c r="Y17" s="98">
        <f t="shared" si="16"/>
        <v>5.5</v>
      </c>
      <c r="Z17" s="98">
        <f t="shared" si="17"/>
        <v>17.1</v>
      </c>
      <c r="AA17" s="102"/>
      <c r="AB17" s="102"/>
      <c r="AC17" s="102"/>
      <c r="AD17" s="102"/>
      <c r="AE17" s="102"/>
      <c r="AF17" s="72"/>
      <c r="AG17" s="72"/>
      <c r="AH17" s="72"/>
      <c r="AI17" s="72"/>
    </row>
    <row r="18" spans="8:8" ht="15.75">
      <c r="A18" s="88">
        <f t="shared" si="18"/>
        <v>45884.0</v>
      </c>
      <c r="B18" s="89">
        <v>0.0</v>
      </c>
      <c r="C18" s="89">
        <v>0.0</v>
      </c>
      <c r="D18" s="90">
        <f t="shared" si="6"/>
        <v>0.0</v>
      </c>
      <c r="E18" s="92">
        <f t="shared" si="19"/>
        <v>1847.65</v>
      </c>
      <c r="F18" s="91"/>
      <c r="G18" s="92">
        <f t="shared" si="7"/>
        <v>1847.65</v>
      </c>
      <c r="H18" s="92">
        <f t="shared" si="0"/>
        <v>0.0</v>
      </c>
      <c r="I18" s="93">
        <f t="shared" si="1"/>
        <v>1847.65</v>
      </c>
      <c r="J18" s="100">
        <f t="shared" si="20"/>
        <v>474.65</v>
      </c>
      <c r="K18" s="91"/>
      <c r="L18" s="92">
        <f t="shared" si="8"/>
        <v>474.65</v>
      </c>
      <c r="M18" s="92">
        <f t="shared" si="2"/>
        <v>0.0</v>
      </c>
      <c r="N18" s="93">
        <f t="shared" si="3"/>
        <v>474.65</v>
      </c>
      <c r="O18" s="95" t="s">
        <v>11</v>
      </c>
      <c r="P18" s="96">
        <f t="shared" si="9"/>
        <v>0.0</v>
      </c>
      <c r="Q18" s="96">
        <f t="shared" si="10"/>
        <v>0.0</v>
      </c>
      <c r="R18" s="96">
        <f t="shared" si="11"/>
        <v>0.0</v>
      </c>
      <c r="S18" s="96">
        <f t="shared" si="4"/>
        <v>0.0</v>
      </c>
      <c r="T18" s="96">
        <f t="shared" si="5"/>
        <v>0.0</v>
      </c>
      <c r="U18" s="96">
        <f t="shared" si="12"/>
        <v>0.0</v>
      </c>
      <c r="V18" s="97">
        <f t="shared" si="13"/>
        <v>0.0</v>
      </c>
      <c r="W18" s="98">
        <f t="shared" si="14"/>
        <v>0.0</v>
      </c>
      <c r="X18" s="98">
        <f t="shared" si="15"/>
        <v>0.0</v>
      </c>
      <c r="Y18" s="98">
        <f t="shared" si="16"/>
        <v>0.0</v>
      </c>
      <c r="Z18" s="98">
        <f t="shared" si="17"/>
        <v>0.0</v>
      </c>
      <c r="AA18" s="102"/>
      <c r="AB18" s="102"/>
      <c r="AC18" s="102"/>
      <c r="AD18" s="102"/>
      <c r="AE18" s="102"/>
      <c r="AF18" s="72"/>
      <c r="AG18" s="72"/>
      <c r="AH18" s="72"/>
      <c r="AI18" s="72"/>
    </row>
    <row r="19" spans="8:8" ht="15.75">
      <c r="A19" s="88">
        <f t="shared" si="18"/>
        <v>45885.0</v>
      </c>
      <c r="B19" s="89">
        <v>0.0</v>
      </c>
      <c r="C19" s="89">
        <v>0.0</v>
      </c>
      <c r="D19" s="90">
        <f t="shared" si="6"/>
        <v>0.0</v>
      </c>
      <c r="E19" s="92">
        <f t="shared" si="19"/>
        <v>1847.65</v>
      </c>
      <c r="F19" s="91"/>
      <c r="G19" s="92">
        <f t="shared" si="7"/>
        <v>1847.65</v>
      </c>
      <c r="H19" s="92">
        <f t="shared" si="0"/>
        <v>0.0</v>
      </c>
      <c r="I19" s="93">
        <f t="shared" si="1"/>
        <v>1847.65</v>
      </c>
      <c r="J19" s="100">
        <f t="shared" si="20"/>
        <v>474.65</v>
      </c>
      <c r="K19" s="91"/>
      <c r="L19" s="92">
        <f t="shared" si="8"/>
        <v>474.65</v>
      </c>
      <c r="M19" s="92">
        <f t="shared" si="2"/>
        <v>0.0</v>
      </c>
      <c r="N19" s="93">
        <f t="shared" si="3"/>
        <v>474.65</v>
      </c>
      <c r="O19" s="95" t="s">
        <v>11</v>
      </c>
      <c r="P19" s="96">
        <f t="shared" si="9"/>
        <v>0.0</v>
      </c>
      <c r="Q19" s="96">
        <f t="shared" si="10"/>
        <v>0.0</v>
      </c>
      <c r="R19" s="96">
        <f t="shared" si="11"/>
        <v>0.0</v>
      </c>
      <c r="S19" s="96">
        <f t="shared" si="4"/>
        <v>0.0</v>
      </c>
      <c r="T19" s="96">
        <f t="shared" si="5"/>
        <v>0.0</v>
      </c>
      <c r="U19" s="96">
        <f t="shared" si="12"/>
        <v>0.0</v>
      </c>
      <c r="V19" s="97">
        <f t="shared" si="13"/>
        <v>0.0</v>
      </c>
      <c r="W19" s="98">
        <f t="shared" si="14"/>
        <v>0.0</v>
      </c>
      <c r="X19" s="98">
        <f t="shared" si="15"/>
        <v>0.0</v>
      </c>
      <c r="Y19" s="98">
        <f t="shared" si="16"/>
        <v>0.0</v>
      </c>
      <c r="Z19" s="98">
        <f t="shared" si="17"/>
        <v>0.0</v>
      </c>
      <c r="AA19" s="102"/>
      <c r="AB19" s="102"/>
      <c r="AC19" s="102"/>
      <c r="AD19" s="102"/>
      <c r="AE19" s="102"/>
      <c r="AF19" s="72"/>
      <c r="AG19" s="72"/>
      <c r="AH19" s="72"/>
      <c r="AI19" s="72"/>
    </row>
    <row r="20" spans="8:8" s="101" ht="15.75" customFormat="1">
      <c r="A20" s="88">
        <f t="shared" si="18"/>
        <v>45886.0</v>
      </c>
      <c r="B20" s="89">
        <v>0.0</v>
      </c>
      <c r="C20" s="89">
        <v>0.0</v>
      </c>
      <c r="D20" s="90">
        <f t="shared" si="6"/>
        <v>0.0</v>
      </c>
      <c r="E20" s="92">
        <f t="shared" si="19"/>
        <v>1847.65</v>
      </c>
      <c r="F20" s="91"/>
      <c r="G20" s="92">
        <f t="shared" si="7"/>
        <v>1847.65</v>
      </c>
      <c r="H20" s="92">
        <f t="shared" si="0"/>
        <v>0.0</v>
      </c>
      <c r="I20" s="93">
        <f t="shared" si="1"/>
        <v>1847.65</v>
      </c>
      <c r="J20" s="100">
        <f t="shared" si="20"/>
        <v>474.65</v>
      </c>
      <c r="K20" s="91"/>
      <c r="L20" s="92">
        <f t="shared" si="8"/>
        <v>474.65</v>
      </c>
      <c r="M20" s="92">
        <f t="shared" si="2"/>
        <v>0.0</v>
      </c>
      <c r="N20" s="93">
        <f t="shared" si="3"/>
        <v>474.65</v>
      </c>
      <c r="O20" s="95" t="s">
        <v>12</v>
      </c>
      <c r="P20" s="96">
        <f t="shared" si="9"/>
        <v>0.0</v>
      </c>
      <c r="Q20" s="96">
        <f t="shared" si="10"/>
        <v>0.0</v>
      </c>
      <c r="R20" s="96">
        <f t="shared" si="11"/>
        <v>0.0</v>
      </c>
      <c r="S20" s="96">
        <f t="shared" si="4"/>
        <v>0.0</v>
      </c>
      <c r="T20" s="96">
        <f t="shared" si="5"/>
        <v>0.0</v>
      </c>
      <c r="U20" s="96">
        <f t="shared" si="12"/>
        <v>0.0</v>
      </c>
      <c r="V20" s="97">
        <f t="shared" si="13"/>
        <v>0.0</v>
      </c>
      <c r="W20" s="98">
        <f t="shared" si="14"/>
        <v>0.0</v>
      </c>
      <c r="X20" s="98">
        <f t="shared" si="15"/>
        <v>0.0</v>
      </c>
      <c r="Y20" s="98">
        <f t="shared" si="16"/>
        <v>0.0</v>
      </c>
      <c r="Z20" s="98">
        <f t="shared" si="17"/>
        <v>0.0</v>
      </c>
      <c r="AA20" s="102"/>
      <c r="AB20" s="102"/>
      <c r="AC20" s="102"/>
      <c r="AD20" s="102"/>
      <c r="AE20" s="102"/>
      <c r="AF20" s="72"/>
      <c r="AG20" s="72"/>
      <c r="AH20" s="72"/>
      <c r="AI20" s="72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</row>
    <row r="21" spans="8:8" s="101" ht="15.75" customFormat="1">
      <c r="A21" s="88">
        <f t="shared" si="18"/>
        <v>45887.0</v>
      </c>
      <c r="B21" s="89">
        <v>58.0</v>
      </c>
      <c r="C21" s="89">
        <v>109.0</v>
      </c>
      <c r="D21" s="90">
        <f t="shared" si="6"/>
        <v>167.0</v>
      </c>
      <c r="E21" s="92">
        <f t="shared" si="19"/>
        <v>1847.65</v>
      </c>
      <c r="F21" s="91"/>
      <c r="G21" s="92">
        <f t="shared" si="7"/>
        <v>1847.65</v>
      </c>
      <c r="H21" s="92">
        <f t="shared" si="0"/>
        <v>22.150000000000002</v>
      </c>
      <c r="I21" s="93">
        <f t="shared" si="1"/>
        <v>1825.5</v>
      </c>
      <c r="J21" s="100">
        <f t="shared" si="20"/>
        <v>474.65</v>
      </c>
      <c r="K21" s="91"/>
      <c r="L21" s="92">
        <f t="shared" si="8"/>
        <v>474.65</v>
      </c>
      <c r="M21" s="92">
        <f t="shared" si="2"/>
        <v>0.0</v>
      </c>
      <c r="N21" s="93">
        <f t="shared" si="3"/>
        <v>474.65</v>
      </c>
      <c r="O21" s="95" t="s">
        <v>11</v>
      </c>
      <c r="P21" s="96">
        <f t="shared" si="9"/>
        <v>1.16</v>
      </c>
      <c r="Q21" s="96">
        <f t="shared" si="10"/>
        <v>3.27</v>
      </c>
      <c r="R21" s="96">
        <f t="shared" si="11"/>
        <v>4.43</v>
      </c>
      <c r="S21" s="96">
        <f t="shared" si="4"/>
        <v>2.9000000000000004</v>
      </c>
      <c r="T21" s="96">
        <f t="shared" si="5"/>
        <v>8.174999999999999</v>
      </c>
      <c r="U21" s="96">
        <f t="shared" si="12"/>
        <v>11.075000000000001</v>
      </c>
      <c r="V21" s="97">
        <f t="shared" si="13"/>
        <v>11.100000000000001</v>
      </c>
      <c r="W21" s="98">
        <f t="shared" si="14"/>
        <v>5.8</v>
      </c>
      <c r="X21" s="98">
        <f t="shared" si="15"/>
        <v>16.35</v>
      </c>
      <c r="Y21" s="98">
        <f t="shared" si="16"/>
        <v>0.0</v>
      </c>
      <c r="Z21" s="98">
        <f t="shared" si="17"/>
        <v>0.0</v>
      </c>
      <c r="AA21" s="102"/>
      <c r="AB21" s="102"/>
      <c r="AC21" s="102"/>
      <c r="AD21" s="102"/>
      <c r="AE21" s="102"/>
      <c r="AF21" s="72"/>
      <c r="AG21" s="72"/>
      <c r="AH21" s="72"/>
      <c r="AI21" s="72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</row>
    <row r="22" spans="8:8" s="101" ht="15.75" customFormat="1">
      <c r="A22" s="88">
        <f t="shared" si="18"/>
        <v>45888.0</v>
      </c>
      <c r="B22" s="89">
        <v>59.0</v>
      </c>
      <c r="C22" s="89">
        <v>124.0</v>
      </c>
      <c r="D22" s="90">
        <f t="shared" si="6"/>
        <v>183.0</v>
      </c>
      <c r="E22" s="92">
        <f t="shared" si="19"/>
        <v>1825.5</v>
      </c>
      <c r="F22" s="91"/>
      <c r="G22" s="92">
        <f t="shared" si="7"/>
        <v>1825.5</v>
      </c>
      <c r="H22" s="92">
        <f t="shared" si="0"/>
        <v>0.0</v>
      </c>
      <c r="I22" s="93">
        <f t="shared" si="1"/>
        <v>1825.5</v>
      </c>
      <c r="J22" s="100">
        <f t="shared" si="20"/>
        <v>474.65</v>
      </c>
      <c r="K22" s="91"/>
      <c r="L22" s="92">
        <f t="shared" si="8"/>
        <v>474.65</v>
      </c>
      <c r="M22" s="92">
        <f t="shared" si="2"/>
        <v>24.5</v>
      </c>
      <c r="N22" s="93">
        <f t="shared" si="3"/>
        <v>450.15</v>
      </c>
      <c r="O22" s="95" t="s">
        <v>12</v>
      </c>
      <c r="P22" s="96">
        <f t="shared" si="9"/>
        <v>1.18</v>
      </c>
      <c r="Q22" s="96">
        <f t="shared" si="10"/>
        <v>3.7199999999999998</v>
      </c>
      <c r="R22" s="96">
        <f t="shared" si="11"/>
        <v>4.9</v>
      </c>
      <c r="S22" s="96">
        <f t="shared" si="4"/>
        <v>2.95</v>
      </c>
      <c r="T22" s="96">
        <f t="shared" si="5"/>
        <v>9.299999999999999</v>
      </c>
      <c r="U22" s="96">
        <f t="shared" si="12"/>
        <v>12.25</v>
      </c>
      <c r="V22" s="97">
        <f t="shared" si="13"/>
        <v>12.3</v>
      </c>
      <c r="W22" s="98">
        <f t="shared" si="14"/>
        <v>0.0</v>
      </c>
      <c r="X22" s="98">
        <f t="shared" si="15"/>
        <v>0.0</v>
      </c>
      <c r="Y22" s="98">
        <f t="shared" si="16"/>
        <v>5.9</v>
      </c>
      <c r="Z22" s="98">
        <f t="shared" si="17"/>
        <v>18.6</v>
      </c>
      <c r="AA22" s="102"/>
      <c r="AB22" s="102"/>
      <c r="AC22" s="102"/>
      <c r="AD22" s="102"/>
      <c r="AE22" s="102"/>
      <c r="AF22" s="72"/>
      <c r="AG22" s="72"/>
      <c r="AH22" s="72"/>
      <c r="AI22" s="72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</row>
    <row r="23" spans="8:8" s="101" ht="15.75" customFormat="1">
      <c r="A23" s="88">
        <f t="shared" si="18"/>
        <v>45889.0</v>
      </c>
      <c r="B23" s="103">
        <v>59.0</v>
      </c>
      <c r="C23" s="103">
        <v>124.0</v>
      </c>
      <c r="D23" s="90">
        <f t="shared" si="6"/>
        <v>183.0</v>
      </c>
      <c r="E23" s="92">
        <f t="shared" si="19"/>
        <v>1825.5</v>
      </c>
      <c r="F23" s="91"/>
      <c r="G23" s="92">
        <f t="shared" si="7"/>
        <v>1825.5</v>
      </c>
      <c r="H23" s="92">
        <f t="shared" si="0"/>
        <v>24.5</v>
      </c>
      <c r="I23" s="93">
        <f t="shared" si="1"/>
        <v>1801.0</v>
      </c>
      <c r="J23" s="100">
        <f t="shared" si="20"/>
        <v>450.15</v>
      </c>
      <c r="K23" s="91"/>
      <c r="L23" s="92">
        <f t="shared" si="8"/>
        <v>450.15</v>
      </c>
      <c r="M23" s="92">
        <f t="shared" si="2"/>
        <v>0.0</v>
      </c>
      <c r="N23" s="93">
        <f t="shared" si="3"/>
        <v>450.15</v>
      </c>
      <c r="O23" s="95" t="s">
        <v>11</v>
      </c>
      <c r="P23" s="96">
        <f t="shared" si="9"/>
        <v>1.18</v>
      </c>
      <c r="Q23" s="96">
        <f t="shared" si="10"/>
        <v>3.7199999999999998</v>
      </c>
      <c r="R23" s="96">
        <f t="shared" si="11"/>
        <v>4.9</v>
      </c>
      <c r="S23" s="96">
        <f t="shared" si="4"/>
        <v>2.95</v>
      </c>
      <c r="T23" s="96">
        <f t="shared" si="5"/>
        <v>9.299999999999999</v>
      </c>
      <c r="U23" s="96">
        <f t="shared" si="12"/>
        <v>12.25</v>
      </c>
      <c r="V23" s="97">
        <f t="shared" si="13"/>
        <v>12.3</v>
      </c>
      <c r="W23" s="98">
        <f t="shared" si="14"/>
        <v>5.9</v>
      </c>
      <c r="X23" s="98">
        <f t="shared" si="15"/>
        <v>18.6</v>
      </c>
      <c r="Y23" s="98">
        <f t="shared" si="16"/>
        <v>0.0</v>
      </c>
      <c r="Z23" s="98">
        <f t="shared" si="17"/>
        <v>0.0</v>
      </c>
      <c r="AA23" s="102"/>
      <c r="AB23" s="102"/>
      <c r="AC23" s="102"/>
      <c r="AD23" s="102"/>
      <c r="AE23" s="102"/>
      <c r="AF23" s="72"/>
      <c r="AG23" s="72"/>
      <c r="AH23" s="72"/>
      <c r="AI23" s="72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</row>
    <row r="24" spans="8:8" s="101" ht="15.75" customFormat="1">
      <c r="A24" s="88">
        <f t="shared" si="18"/>
        <v>45890.0</v>
      </c>
      <c r="B24" s="89">
        <v>61.0</v>
      </c>
      <c r="C24" s="89">
        <v>104.0</v>
      </c>
      <c r="D24" s="90">
        <f t="shared" si="6"/>
        <v>165.0</v>
      </c>
      <c r="E24" s="92">
        <f t="shared" si="19"/>
        <v>1801.0</v>
      </c>
      <c r="F24" s="91"/>
      <c r="G24" s="92">
        <f t="shared" si="7"/>
        <v>1801.0</v>
      </c>
      <c r="H24" s="92">
        <f t="shared" si="0"/>
        <v>0.0</v>
      </c>
      <c r="I24" s="93">
        <f t="shared" si="1"/>
        <v>1801.0</v>
      </c>
      <c r="J24" s="100">
        <f t="shared" si="20"/>
        <v>450.15</v>
      </c>
      <c r="K24" s="91"/>
      <c r="L24" s="92">
        <f t="shared" si="8"/>
        <v>450.15</v>
      </c>
      <c r="M24" s="92">
        <f t="shared" si="2"/>
        <v>21.7</v>
      </c>
      <c r="N24" s="93">
        <f t="shared" si="3"/>
        <v>428.45</v>
      </c>
      <c r="O24" s="95" t="s">
        <v>12</v>
      </c>
      <c r="P24" s="96">
        <f t="shared" si="9"/>
        <v>1.22</v>
      </c>
      <c r="Q24" s="96">
        <f t="shared" si="10"/>
        <v>3.12</v>
      </c>
      <c r="R24" s="96">
        <f t="shared" si="11"/>
        <v>4.34</v>
      </c>
      <c r="S24" s="96">
        <f t="shared" si="4"/>
        <v>3.0500000000000003</v>
      </c>
      <c r="T24" s="96">
        <f t="shared" si="5"/>
        <v>7.8</v>
      </c>
      <c r="U24" s="96">
        <f t="shared" si="12"/>
        <v>10.85</v>
      </c>
      <c r="V24" s="97">
        <f t="shared" si="13"/>
        <v>10.8</v>
      </c>
      <c r="W24" s="98">
        <f t="shared" si="14"/>
        <v>0.0</v>
      </c>
      <c r="X24" s="98">
        <f t="shared" si="15"/>
        <v>0.0</v>
      </c>
      <c r="Y24" s="98">
        <f t="shared" si="16"/>
        <v>6.1</v>
      </c>
      <c r="Z24" s="98">
        <f t="shared" si="17"/>
        <v>15.6</v>
      </c>
      <c r="AA24" s="75"/>
      <c r="AB24" s="75"/>
      <c r="AC24" s="75"/>
      <c r="AD24" s="75"/>
      <c r="AE24" s="75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</row>
    <row r="25" spans="8:8" s="101" ht="15.75" customFormat="1">
      <c r="A25" s="88">
        <f t="shared" si="18"/>
        <v>45891.0</v>
      </c>
      <c r="B25" s="89">
        <v>59.0</v>
      </c>
      <c r="C25" s="89">
        <v>95.0</v>
      </c>
      <c r="D25" s="90">
        <f t="shared" si="6"/>
        <v>154.0</v>
      </c>
      <c r="E25" s="92">
        <f t="shared" si="19"/>
        <v>1801.0</v>
      </c>
      <c r="F25" s="91"/>
      <c r="G25" s="92">
        <f t="shared" si="7"/>
        <v>1801.0</v>
      </c>
      <c r="H25" s="92">
        <f t="shared" si="0"/>
        <v>20.15</v>
      </c>
      <c r="I25" s="93">
        <f t="shared" si="1"/>
        <v>1780.85</v>
      </c>
      <c r="J25" s="100">
        <f t="shared" si="20"/>
        <v>428.45</v>
      </c>
      <c r="K25" s="91"/>
      <c r="L25" s="92">
        <f t="shared" si="8"/>
        <v>428.45</v>
      </c>
      <c r="M25" s="92">
        <f t="shared" si="2"/>
        <v>0.0</v>
      </c>
      <c r="N25" s="93">
        <f t="shared" si="3"/>
        <v>428.45</v>
      </c>
      <c r="O25" s="95" t="s">
        <v>11</v>
      </c>
      <c r="P25" s="96">
        <f t="shared" si="9"/>
        <v>1.18</v>
      </c>
      <c r="Q25" s="96">
        <f t="shared" si="10"/>
        <v>2.85</v>
      </c>
      <c r="R25" s="96">
        <f t="shared" si="11"/>
        <v>4.03</v>
      </c>
      <c r="S25" s="96">
        <f t="shared" si="4"/>
        <v>2.95</v>
      </c>
      <c r="T25" s="96">
        <f t="shared" si="5"/>
        <v>7.125</v>
      </c>
      <c r="U25" s="96">
        <f t="shared" si="12"/>
        <v>10.075</v>
      </c>
      <c r="V25" s="97">
        <f t="shared" si="13"/>
        <v>10.100000000000001</v>
      </c>
      <c r="W25" s="98">
        <f t="shared" si="14"/>
        <v>5.9</v>
      </c>
      <c r="X25" s="98">
        <f t="shared" si="15"/>
        <v>14.25</v>
      </c>
      <c r="Y25" s="98">
        <f t="shared" si="16"/>
        <v>0.0</v>
      </c>
      <c r="Z25" s="98">
        <f t="shared" si="17"/>
        <v>0.0</v>
      </c>
      <c r="AA25" s="75"/>
      <c r="AB25" s="75"/>
      <c r="AC25" s="75"/>
      <c r="AD25" s="75"/>
      <c r="AE25" s="75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</row>
    <row r="26" spans="8:8" s="101" ht="15.75" customFormat="1">
      <c r="A26" s="88">
        <f t="shared" si="18"/>
        <v>45892.0</v>
      </c>
      <c r="B26" s="89">
        <v>54.0</v>
      </c>
      <c r="C26" s="89">
        <v>98.0</v>
      </c>
      <c r="D26" s="90">
        <f t="shared" si="6"/>
        <v>152.0</v>
      </c>
      <c r="E26" s="92">
        <f t="shared" si="19"/>
        <v>1780.85</v>
      </c>
      <c r="F26" s="91"/>
      <c r="G26" s="92">
        <f t="shared" si="7"/>
        <v>1780.85</v>
      </c>
      <c r="H26" s="92">
        <f t="shared" si="0"/>
        <v>20.1</v>
      </c>
      <c r="I26" s="93">
        <f t="shared" si="1"/>
        <v>1760.75</v>
      </c>
      <c r="J26" s="100">
        <f t="shared" si="20"/>
        <v>428.45</v>
      </c>
      <c r="K26" s="91"/>
      <c r="L26" s="92">
        <f t="shared" si="8"/>
        <v>428.45</v>
      </c>
      <c r="M26" s="92">
        <f t="shared" si="2"/>
        <v>0.0</v>
      </c>
      <c r="N26" s="93">
        <f t="shared" si="3"/>
        <v>428.45</v>
      </c>
      <c r="O26" s="95" t="s">
        <v>11</v>
      </c>
      <c r="P26" s="96">
        <f t="shared" si="9"/>
        <v>1.08</v>
      </c>
      <c r="Q26" s="96">
        <f t="shared" si="10"/>
        <v>2.94</v>
      </c>
      <c r="R26" s="96">
        <f t="shared" si="11"/>
        <v>4.02</v>
      </c>
      <c r="S26" s="96">
        <f t="shared" si="4"/>
        <v>2.7</v>
      </c>
      <c r="T26" s="96">
        <f t="shared" si="5"/>
        <v>7.35</v>
      </c>
      <c r="U26" s="96">
        <f t="shared" si="12"/>
        <v>10.05</v>
      </c>
      <c r="V26" s="97">
        <f t="shared" si="13"/>
        <v>10.100000000000001</v>
      </c>
      <c r="W26" s="98">
        <f t="shared" si="14"/>
        <v>5.4</v>
      </c>
      <c r="X26" s="98">
        <f t="shared" si="15"/>
        <v>14.7</v>
      </c>
      <c r="Y26" s="98">
        <f t="shared" si="16"/>
        <v>0.0</v>
      </c>
      <c r="Z26" s="98">
        <f t="shared" si="17"/>
        <v>0.0</v>
      </c>
      <c r="AA26" s="75"/>
      <c r="AB26" s="75"/>
      <c r="AC26" s="75"/>
      <c r="AD26" s="75"/>
      <c r="AE26" s="75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</row>
    <row r="27" spans="8:8" s="101" ht="15.75" customFormat="1">
      <c r="A27" s="88">
        <f t="shared" si="18"/>
        <v>45893.0</v>
      </c>
      <c r="B27" s="89">
        <v>0.0</v>
      </c>
      <c r="C27" s="89">
        <v>0.0</v>
      </c>
      <c r="D27" s="90">
        <f t="shared" si="6"/>
        <v>0.0</v>
      </c>
      <c r="E27" s="92">
        <f t="shared" si="19"/>
        <v>1760.75</v>
      </c>
      <c r="F27" s="91"/>
      <c r="G27" s="92">
        <f t="shared" si="7"/>
        <v>1760.75</v>
      </c>
      <c r="H27" s="92">
        <f t="shared" si="0"/>
        <v>0.0</v>
      </c>
      <c r="I27" s="93">
        <f t="shared" si="1"/>
        <v>1760.75</v>
      </c>
      <c r="J27" s="100">
        <f t="shared" si="20"/>
        <v>428.45</v>
      </c>
      <c r="K27" s="91"/>
      <c r="L27" s="92">
        <f t="shared" si="8"/>
        <v>428.45</v>
      </c>
      <c r="M27" s="92">
        <f t="shared" si="2"/>
        <v>0.0</v>
      </c>
      <c r="N27" s="93">
        <f t="shared" si="3"/>
        <v>428.45</v>
      </c>
      <c r="O27" s="95" t="s">
        <v>12</v>
      </c>
      <c r="P27" s="96">
        <f t="shared" si="9"/>
        <v>0.0</v>
      </c>
      <c r="Q27" s="96">
        <f t="shared" si="10"/>
        <v>0.0</v>
      </c>
      <c r="R27" s="96">
        <f t="shared" si="11"/>
        <v>0.0</v>
      </c>
      <c r="S27" s="96">
        <f t="shared" si="4"/>
        <v>0.0</v>
      </c>
      <c r="T27" s="96">
        <f t="shared" si="5"/>
        <v>0.0</v>
      </c>
      <c r="U27" s="96">
        <f t="shared" si="12"/>
        <v>0.0</v>
      </c>
      <c r="V27" s="97">
        <f t="shared" si="13"/>
        <v>0.0</v>
      </c>
      <c r="W27" s="98">
        <f t="shared" si="14"/>
        <v>0.0</v>
      </c>
      <c r="X27" s="98">
        <f t="shared" si="15"/>
        <v>0.0</v>
      </c>
      <c r="Y27" s="98">
        <f t="shared" si="16"/>
        <v>0.0</v>
      </c>
      <c r="Z27" s="98">
        <f t="shared" si="17"/>
        <v>0.0</v>
      </c>
      <c r="AA27" s="75"/>
      <c r="AB27" s="75"/>
      <c r="AC27" s="75"/>
      <c r="AD27" s="75"/>
      <c r="AE27" s="75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</row>
    <row r="28" spans="8:8" s="101" ht="15.75" customFormat="1">
      <c r="A28" s="88">
        <f t="shared" si="18"/>
        <v>45894.0</v>
      </c>
      <c r="B28" s="89">
        <v>0.0</v>
      </c>
      <c r="C28" s="89">
        <v>0.0</v>
      </c>
      <c r="D28" s="90">
        <f t="shared" si="6"/>
        <v>0.0</v>
      </c>
      <c r="E28" s="92">
        <f t="shared" si="19"/>
        <v>1760.75</v>
      </c>
      <c r="F28" s="91"/>
      <c r="G28" s="92">
        <f t="shared" si="7"/>
        <v>1760.75</v>
      </c>
      <c r="H28" s="92">
        <f t="shared" si="0"/>
        <v>0.0</v>
      </c>
      <c r="I28" s="93">
        <f t="shared" si="1"/>
        <v>1760.75</v>
      </c>
      <c r="J28" s="100">
        <f t="shared" si="20"/>
        <v>428.45</v>
      </c>
      <c r="K28" s="91"/>
      <c r="L28" s="92">
        <f t="shared" si="8"/>
        <v>428.45</v>
      </c>
      <c r="M28" s="92">
        <f t="shared" si="2"/>
        <v>0.0</v>
      </c>
      <c r="N28" s="93">
        <f t="shared" si="3"/>
        <v>428.45</v>
      </c>
      <c r="O28" s="95" t="s">
        <v>11</v>
      </c>
      <c r="P28" s="96">
        <f t="shared" si="9"/>
        <v>0.0</v>
      </c>
      <c r="Q28" s="96">
        <f t="shared" si="10"/>
        <v>0.0</v>
      </c>
      <c r="R28" s="96">
        <f t="shared" si="11"/>
        <v>0.0</v>
      </c>
      <c r="S28" s="96">
        <f t="shared" si="4"/>
        <v>0.0</v>
      </c>
      <c r="T28" s="96">
        <f t="shared" si="5"/>
        <v>0.0</v>
      </c>
      <c r="U28" s="96">
        <f t="shared" si="12"/>
        <v>0.0</v>
      </c>
      <c r="V28" s="97">
        <f t="shared" si="13"/>
        <v>0.0</v>
      </c>
      <c r="W28" s="98">
        <f t="shared" si="14"/>
        <v>0.0</v>
      </c>
      <c r="X28" s="98">
        <f t="shared" si="15"/>
        <v>0.0</v>
      </c>
      <c r="Y28" s="98">
        <f t="shared" si="16"/>
        <v>0.0</v>
      </c>
      <c r="Z28" s="98">
        <f t="shared" si="17"/>
        <v>0.0</v>
      </c>
      <c r="AA28" s="75"/>
      <c r="AB28" s="75"/>
      <c r="AC28" s="75"/>
      <c r="AD28" s="75"/>
      <c r="AE28" s="75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</row>
    <row r="29" spans="8:8" s="101" ht="15.75" customFormat="1">
      <c r="A29" s="88">
        <f t="shared" si="18"/>
        <v>45895.0</v>
      </c>
      <c r="B29" s="89">
        <v>0.0</v>
      </c>
      <c r="C29" s="89">
        <v>0.0</v>
      </c>
      <c r="D29" s="90">
        <f t="shared" si="6"/>
        <v>0.0</v>
      </c>
      <c r="E29" s="92">
        <f t="shared" si="19"/>
        <v>1760.75</v>
      </c>
      <c r="F29" s="91"/>
      <c r="G29" s="92">
        <f t="shared" si="7"/>
        <v>1760.75</v>
      </c>
      <c r="H29" s="92">
        <f t="shared" si="0"/>
        <v>0.0</v>
      </c>
      <c r="I29" s="93">
        <f t="shared" si="1"/>
        <v>1760.75</v>
      </c>
      <c r="J29" s="100">
        <f t="shared" si="20"/>
        <v>428.45</v>
      </c>
      <c r="K29" s="91"/>
      <c r="L29" s="92">
        <f t="shared" si="8"/>
        <v>428.45</v>
      </c>
      <c r="M29" s="92">
        <f t="shared" si="2"/>
        <v>0.0</v>
      </c>
      <c r="N29" s="93">
        <f t="shared" si="3"/>
        <v>428.45</v>
      </c>
      <c r="O29" s="95" t="s">
        <v>12</v>
      </c>
      <c r="P29" s="96">
        <f t="shared" si="9"/>
        <v>0.0</v>
      </c>
      <c r="Q29" s="96">
        <f t="shared" si="10"/>
        <v>0.0</v>
      </c>
      <c r="R29" s="96">
        <f t="shared" si="11"/>
        <v>0.0</v>
      </c>
      <c r="S29" s="96">
        <f t="shared" si="4"/>
        <v>0.0</v>
      </c>
      <c r="T29" s="96">
        <f t="shared" si="5"/>
        <v>0.0</v>
      </c>
      <c r="U29" s="96">
        <f t="shared" si="12"/>
        <v>0.0</v>
      </c>
      <c r="V29" s="97">
        <f t="shared" si="13"/>
        <v>0.0</v>
      </c>
      <c r="W29" s="98">
        <f t="shared" si="14"/>
        <v>0.0</v>
      </c>
      <c r="X29" s="98">
        <f t="shared" si="15"/>
        <v>0.0</v>
      </c>
      <c r="Y29" s="98">
        <f t="shared" si="16"/>
        <v>0.0</v>
      </c>
      <c r="Z29" s="98">
        <f t="shared" si="17"/>
        <v>0.0</v>
      </c>
      <c r="AA29" s="75"/>
      <c r="AB29" s="75"/>
      <c r="AC29" s="75"/>
      <c r="AD29" s="75"/>
      <c r="AE29" s="75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</row>
    <row r="30" spans="8:8" s="101" ht="15.75" customFormat="1">
      <c r="A30" s="88">
        <f t="shared" si="18"/>
        <v>45896.0</v>
      </c>
      <c r="B30" s="103">
        <v>30.0</v>
      </c>
      <c r="C30" s="103">
        <v>66.0</v>
      </c>
      <c r="D30" s="90">
        <f t="shared" si="6"/>
        <v>96.0</v>
      </c>
      <c r="E30" s="92">
        <f t="shared" si="19"/>
        <v>1760.75</v>
      </c>
      <c r="F30" s="91"/>
      <c r="G30" s="92">
        <f t="shared" si="7"/>
        <v>1760.75</v>
      </c>
      <c r="H30" s="92">
        <f t="shared" si="0"/>
        <v>12.9</v>
      </c>
      <c r="I30" s="93">
        <f t="shared" si="1"/>
        <v>1747.85</v>
      </c>
      <c r="J30" s="100">
        <f t="shared" si="20"/>
        <v>428.45</v>
      </c>
      <c r="K30" s="91"/>
      <c r="L30" s="92">
        <f t="shared" si="8"/>
        <v>428.45</v>
      </c>
      <c r="M30" s="92">
        <f t="shared" si="2"/>
        <v>0.0</v>
      </c>
      <c r="N30" s="93">
        <f t="shared" si="3"/>
        <v>428.45</v>
      </c>
      <c r="O30" s="95" t="s">
        <v>11</v>
      </c>
      <c r="P30" s="96">
        <f t="shared" si="9"/>
        <v>0.6</v>
      </c>
      <c r="Q30" s="96">
        <f t="shared" si="10"/>
        <v>1.98</v>
      </c>
      <c r="R30" s="96">
        <f t="shared" si="11"/>
        <v>2.58</v>
      </c>
      <c r="S30" s="96">
        <f t="shared" si="4"/>
        <v>1.5</v>
      </c>
      <c r="T30" s="96">
        <f t="shared" si="5"/>
        <v>4.95</v>
      </c>
      <c r="U30" s="96">
        <f t="shared" si="12"/>
        <v>6.45</v>
      </c>
      <c r="V30" s="97">
        <f t="shared" si="13"/>
        <v>6.5</v>
      </c>
      <c r="W30" s="98">
        <f t="shared" si="14"/>
        <v>3.0</v>
      </c>
      <c r="X30" s="98">
        <f t="shared" si="15"/>
        <v>9.9</v>
      </c>
      <c r="Y30" s="98">
        <f t="shared" si="16"/>
        <v>0.0</v>
      </c>
      <c r="Z30" s="98">
        <f t="shared" si="17"/>
        <v>0.0</v>
      </c>
      <c r="AA30" s="75"/>
      <c r="AB30" s="75"/>
      <c r="AC30" s="75"/>
      <c r="AD30" s="75"/>
      <c r="AE30" s="75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</row>
    <row r="31" spans="8:8" s="101" ht="15.75" customFormat="1">
      <c r="A31" s="88">
        <f t="shared" si="18"/>
        <v>45897.0</v>
      </c>
      <c r="B31" s="89">
        <v>59.0</v>
      </c>
      <c r="C31" s="89">
        <v>101.0</v>
      </c>
      <c r="D31" s="90">
        <f t="shared" si="6"/>
        <v>160.0</v>
      </c>
      <c r="E31" s="92">
        <f t="shared" si="19"/>
        <v>1747.85</v>
      </c>
      <c r="F31" s="91"/>
      <c r="G31" s="92">
        <f t="shared" si="7"/>
        <v>1747.85</v>
      </c>
      <c r="H31" s="92">
        <f t="shared" si="0"/>
        <v>0.0</v>
      </c>
      <c r="I31" s="93">
        <f t="shared" si="1"/>
        <v>1747.85</v>
      </c>
      <c r="J31" s="100">
        <f t="shared" si="20"/>
        <v>428.45</v>
      </c>
      <c r="K31" s="91"/>
      <c r="L31" s="92">
        <f t="shared" si="8"/>
        <v>428.45</v>
      </c>
      <c r="M31" s="92">
        <f t="shared" si="2"/>
        <v>21.05</v>
      </c>
      <c r="N31" s="93">
        <f t="shared" si="3"/>
        <v>407.4</v>
      </c>
      <c r="O31" s="95" t="s">
        <v>12</v>
      </c>
      <c r="P31" s="96">
        <f t="shared" si="9"/>
        <v>1.18</v>
      </c>
      <c r="Q31" s="96">
        <f t="shared" si="10"/>
        <v>3.03</v>
      </c>
      <c r="R31" s="96">
        <f t="shared" si="11"/>
        <v>4.21</v>
      </c>
      <c r="S31" s="96">
        <f t="shared" si="4"/>
        <v>2.95</v>
      </c>
      <c r="T31" s="96">
        <f t="shared" si="5"/>
        <v>7.574999999999999</v>
      </c>
      <c r="U31" s="96">
        <f t="shared" si="12"/>
        <v>10.525</v>
      </c>
      <c r="V31" s="97">
        <f t="shared" si="13"/>
        <v>10.5</v>
      </c>
      <c r="W31" s="98">
        <f t="shared" si="14"/>
        <v>0.0</v>
      </c>
      <c r="X31" s="98">
        <f t="shared" si="15"/>
        <v>0.0</v>
      </c>
      <c r="Y31" s="98">
        <f t="shared" si="16"/>
        <v>5.9</v>
      </c>
      <c r="Z31" s="98">
        <f t="shared" si="17"/>
        <v>15.15</v>
      </c>
      <c r="AA31" s="75"/>
      <c r="AB31" s="75"/>
      <c r="AC31" s="75"/>
      <c r="AD31" s="75"/>
      <c r="AE31" s="75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</row>
    <row r="32" spans="8:8" s="101" ht="15.75" customFormat="1">
      <c r="A32" s="88">
        <f t="shared" si="18"/>
        <v>45898.0</v>
      </c>
      <c r="B32" s="89">
        <v>59.0</v>
      </c>
      <c r="C32" s="89">
        <v>99.0</v>
      </c>
      <c r="D32" s="90">
        <f t="shared" si="6"/>
        <v>158.0</v>
      </c>
      <c r="E32" s="92">
        <f t="shared" si="19"/>
        <v>1747.85</v>
      </c>
      <c r="F32" s="91"/>
      <c r="G32" s="92">
        <f t="shared" si="7"/>
        <v>1747.85</v>
      </c>
      <c r="H32" s="92">
        <f t="shared" si="0"/>
        <v>20.75</v>
      </c>
      <c r="I32" s="93">
        <f t="shared" si="1"/>
        <v>1727.1</v>
      </c>
      <c r="J32" s="100">
        <f t="shared" si="20"/>
        <v>407.4</v>
      </c>
      <c r="K32" s="91"/>
      <c r="L32" s="92">
        <f t="shared" si="8"/>
        <v>407.4</v>
      </c>
      <c r="M32" s="92">
        <f t="shared" si="2"/>
        <v>0.0</v>
      </c>
      <c r="N32" s="104">
        <f t="shared" si="3"/>
        <v>407.4</v>
      </c>
      <c r="O32" s="105" t="s">
        <v>11</v>
      </c>
      <c r="P32" s="96">
        <f t="shared" si="9"/>
        <v>1.18</v>
      </c>
      <c r="Q32" s="96">
        <f t="shared" si="10"/>
        <v>2.9699999999999998</v>
      </c>
      <c r="R32" s="96">
        <f t="shared" si="11"/>
        <v>4.15</v>
      </c>
      <c r="S32" s="96">
        <f t="shared" si="4"/>
        <v>2.95</v>
      </c>
      <c r="T32" s="96">
        <f t="shared" si="5"/>
        <v>7.425</v>
      </c>
      <c r="U32" s="96">
        <f t="shared" si="12"/>
        <v>10.375</v>
      </c>
      <c r="V32" s="97">
        <f t="shared" si="13"/>
        <v>10.4</v>
      </c>
      <c r="W32" s="98">
        <f t="shared" si="14"/>
        <v>5.9</v>
      </c>
      <c r="X32" s="98">
        <f t="shared" si="15"/>
        <v>14.85</v>
      </c>
      <c r="Y32" s="98">
        <f t="shared" si="16"/>
        <v>0.0</v>
      </c>
      <c r="Z32" s="98">
        <f t="shared" si="17"/>
        <v>0.0</v>
      </c>
      <c r="AA32" s="75"/>
      <c r="AB32" s="75"/>
      <c r="AC32" s="75"/>
      <c r="AD32" s="75"/>
      <c r="AE32" s="75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</row>
    <row r="33" spans="8:8" s="101" ht="15.75" customFormat="1">
      <c r="A33" s="88">
        <f t="shared" si="18"/>
        <v>45899.0</v>
      </c>
      <c r="B33" s="103">
        <v>0.0</v>
      </c>
      <c r="C33" s="103">
        <v>0.0</v>
      </c>
      <c r="D33" s="90">
        <f t="shared" si="6"/>
        <v>0.0</v>
      </c>
      <c r="E33" s="92">
        <f t="shared" si="19"/>
        <v>1727.1</v>
      </c>
      <c r="F33" s="91"/>
      <c r="G33" s="92">
        <f t="shared" si="7"/>
        <v>1727.1</v>
      </c>
      <c r="H33" s="92">
        <f t="shared" si="0"/>
        <v>0.0</v>
      </c>
      <c r="I33" s="93">
        <f t="shared" si="1"/>
        <v>1727.1</v>
      </c>
      <c r="J33" s="100">
        <f t="shared" si="20"/>
        <v>407.4</v>
      </c>
      <c r="K33" s="91"/>
      <c r="L33" s="106">
        <f t="shared" si="8"/>
        <v>407.4</v>
      </c>
      <c r="M33" s="92">
        <f t="shared" si="2"/>
        <v>0.0</v>
      </c>
      <c r="N33" s="93">
        <f t="shared" si="3"/>
        <v>407.4</v>
      </c>
      <c r="O33" s="105" t="s">
        <v>11</v>
      </c>
      <c r="P33" s="96">
        <f t="shared" si="9"/>
        <v>0.0</v>
      </c>
      <c r="Q33" s="96">
        <f t="shared" si="10"/>
        <v>0.0</v>
      </c>
      <c r="R33" s="96">
        <f t="shared" si="11"/>
        <v>0.0</v>
      </c>
      <c r="S33" s="96">
        <f t="shared" si="4"/>
        <v>0.0</v>
      </c>
      <c r="T33" s="96">
        <f t="shared" si="5"/>
        <v>0.0</v>
      </c>
      <c r="U33" s="96">
        <f t="shared" si="12"/>
        <v>0.0</v>
      </c>
      <c r="V33" s="97">
        <f t="shared" si="13"/>
        <v>0.0</v>
      </c>
      <c r="W33" s="98">
        <f t="shared" si="14"/>
        <v>0.0</v>
      </c>
      <c r="X33" s="98">
        <f t="shared" si="15"/>
        <v>0.0</v>
      </c>
      <c r="Y33" s="98">
        <f t="shared" si="16"/>
        <v>0.0</v>
      </c>
      <c r="Z33" s="98">
        <f t="shared" si="17"/>
        <v>0.0</v>
      </c>
      <c r="AA33" s="75"/>
      <c r="AB33" s="75"/>
      <c r="AC33" s="75"/>
      <c r="AD33" s="75"/>
      <c r="AE33" s="75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</row>
    <row r="34" spans="8:8" s="101" ht="15.75" customFormat="1">
      <c r="A34" s="88">
        <f t="shared" si="18"/>
        <v>45900.0</v>
      </c>
      <c r="B34" s="103">
        <v>0.0</v>
      </c>
      <c r="C34" s="103">
        <v>0.0</v>
      </c>
      <c r="D34" s="90">
        <f t="shared" si="6"/>
        <v>0.0</v>
      </c>
      <c r="E34" s="92">
        <f t="shared" si="19"/>
        <v>1727.1</v>
      </c>
      <c r="F34" s="91"/>
      <c r="G34" s="92">
        <f t="shared" si="7"/>
        <v>1727.1</v>
      </c>
      <c r="H34" s="92">
        <f t="shared" si="0"/>
        <v>0.0</v>
      </c>
      <c r="I34" s="93">
        <f t="shared" si="1"/>
        <v>1727.1</v>
      </c>
      <c r="J34" s="100">
        <f t="shared" si="20"/>
        <v>407.4</v>
      </c>
      <c r="K34" s="91"/>
      <c r="L34" s="106">
        <f t="shared" si="8"/>
        <v>407.4</v>
      </c>
      <c r="M34" s="92">
        <f t="shared" si="2"/>
        <v>0.0</v>
      </c>
      <c r="N34" s="93">
        <f t="shared" si="3"/>
        <v>407.4</v>
      </c>
      <c r="O34" s="105" t="s">
        <v>12</v>
      </c>
      <c r="P34" s="96">
        <f t="shared" si="9"/>
        <v>0.0</v>
      </c>
      <c r="Q34" s="96">
        <f t="shared" si="10"/>
        <v>0.0</v>
      </c>
      <c r="R34" s="96">
        <f t="shared" si="11"/>
        <v>0.0</v>
      </c>
      <c r="S34" s="96">
        <f t="shared" si="4"/>
        <v>0.0</v>
      </c>
      <c r="T34" s="96">
        <f t="shared" si="5"/>
        <v>0.0</v>
      </c>
      <c r="U34" s="96">
        <f t="shared" si="12"/>
        <v>0.0</v>
      </c>
      <c r="V34" s="97">
        <f t="shared" si="13"/>
        <v>0.0</v>
      </c>
      <c r="W34" s="98">
        <f t="shared" si="14"/>
        <v>0.0</v>
      </c>
      <c r="X34" s="98">
        <f t="shared" si="15"/>
        <v>0.0</v>
      </c>
      <c r="Y34" s="98">
        <f t="shared" si="16"/>
        <v>0.0</v>
      </c>
      <c r="Z34" s="98">
        <f t="shared" si="17"/>
        <v>0.0</v>
      </c>
      <c r="AA34" s="75"/>
      <c r="AB34" s="75"/>
      <c r="AC34" s="75"/>
      <c r="AD34" s="75"/>
      <c r="AE34" s="75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</row>
    <row r="35" spans="8:8" s="107" ht="15.75" customFormat="1">
      <c r="A35" s="108" t="s">
        <v>14</v>
      </c>
      <c r="B35" s="109">
        <f>SUM(B4:B33)</f>
        <v>1022.0</v>
      </c>
      <c r="C35" s="109">
        <f>SUM(C4:C34)</f>
        <v>1924.0</v>
      </c>
      <c r="D35" s="110">
        <f t="shared" si="6"/>
        <v>2946.0</v>
      </c>
      <c r="E35" s="111">
        <f>E4</f>
        <v>1967.0</v>
      </c>
      <c r="F35" s="111">
        <f>SUM(F4:F33)</f>
        <v>0.0</v>
      </c>
      <c r="G35" s="111">
        <f t="shared" si="7"/>
        <v>1967.0</v>
      </c>
      <c r="H35" s="111">
        <f>SUM(H4:H33)</f>
        <v>239.9</v>
      </c>
      <c r="I35" s="112">
        <f t="shared" si="1"/>
        <v>1727.1</v>
      </c>
      <c r="J35" s="113">
        <f>J4</f>
        <v>558.3</v>
      </c>
      <c r="K35" s="111">
        <f>SUM(K4:K33)</f>
        <v>0.0</v>
      </c>
      <c r="L35" s="111">
        <f>J35+K35</f>
        <v>558.3</v>
      </c>
      <c r="M35" s="111">
        <f>SUM(M4:M33)</f>
        <v>150.9</v>
      </c>
      <c r="N35" s="114">
        <f t="shared" si="3"/>
        <v>407.4</v>
      </c>
      <c r="O35" s="115"/>
      <c r="P35" s="96">
        <f>SUM(P4:P34)</f>
        <v>20.440000000000005</v>
      </c>
      <c r="Q35" s="96">
        <f t="shared" si="21" ref="Q35:U35">SUM(Q4:Q34)</f>
        <v>57.71999999999999</v>
      </c>
      <c r="R35" s="96">
        <f t="shared" si="21"/>
        <v>78.15999999999998</v>
      </c>
      <c r="S35" s="96">
        <f t="shared" si="21"/>
        <v>51.100000000000016</v>
      </c>
      <c r="T35" s="96">
        <f t="shared" si="21"/>
        <v>144.29999999999998</v>
      </c>
      <c r="U35" s="96">
        <f t="shared" si="21"/>
        <v>195.39999999999998</v>
      </c>
      <c r="V35" s="97">
        <f t="shared" si="13"/>
        <v>195.4</v>
      </c>
      <c r="W35" s="116">
        <f>SUM(W4:W34)</f>
        <v>64.1</v>
      </c>
      <c r="X35" s="116">
        <f>SUM(X4:X34)</f>
        <v>175.79999999999998</v>
      </c>
      <c r="Y35" s="116">
        <f t="shared" si="22" ref="Y35:Z35">SUM(Y4:Y34)</f>
        <v>38.1</v>
      </c>
      <c r="Z35" s="116">
        <f t="shared" si="22"/>
        <v>112.8</v>
      </c>
      <c r="AA35" s="117"/>
      <c r="AB35" s="117"/>
      <c r="AC35" s="117"/>
      <c r="AD35" s="117"/>
      <c r="AE35" s="117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9"/>
      <c r="BV35" s="119"/>
      <c r="BW35" s="119"/>
      <c r="BX35" s="119"/>
    </row>
    <row r="36" spans="8:8">
      <c r="E36" s="69"/>
      <c r="F36" s="70"/>
      <c r="I36" s="68"/>
      <c r="J36" s="69"/>
      <c r="K36" s="120"/>
      <c r="L36" s="121"/>
      <c r="M36" s="121"/>
      <c r="N36" s="121"/>
      <c r="O36" s="121"/>
      <c r="P36" s="121"/>
      <c r="Q36" s="121"/>
      <c r="R36" s="121"/>
      <c r="AV36" s="72"/>
      <c r="AW36" s="72"/>
      <c r="AX36" s="72"/>
      <c r="AY36" s="72"/>
      <c r="BU36" s="68"/>
      <c r="BV36" s="68"/>
      <c r="BW36" s="68"/>
      <c r="BX36" s="68"/>
    </row>
    <row r="37" spans="8:8">
      <c r="E37" s="69"/>
      <c r="F37" s="122"/>
      <c r="G37" s="122"/>
      <c r="H37" s="122"/>
      <c r="I37" s="122"/>
      <c r="J37" s="122"/>
      <c r="L37" s="71"/>
      <c r="M37" s="71"/>
      <c r="N37" s="71"/>
      <c r="O37" s="71"/>
      <c r="AV37" s="72"/>
      <c r="AW37" s="72"/>
      <c r="AX37" s="72"/>
      <c r="AY37" s="72"/>
      <c r="BU37" s="68"/>
      <c r="BV37" s="68"/>
      <c r="BW37" s="68"/>
      <c r="BX37" s="68"/>
    </row>
    <row r="38" spans="8:8">
      <c r="E38" s="69"/>
      <c r="F38" s="70"/>
      <c r="I38" s="68"/>
      <c r="J38" s="69"/>
      <c r="L38" s="71"/>
      <c r="M38" s="71"/>
      <c r="N38" s="71"/>
      <c r="O38" s="71"/>
      <c r="AV38" s="72"/>
      <c r="AW38" s="72"/>
      <c r="AX38" s="72"/>
      <c r="AY38" s="72"/>
      <c r="BU38" s="68"/>
      <c r="BV38" s="68"/>
      <c r="BW38" s="68"/>
      <c r="BX38" s="68"/>
    </row>
  </sheetData>
  <sheetProtection algorithmName="SHA-512" hashValue="a9JccwYCjNqTbeAOH0ncOoaS4z4mIqRWkpX2sqvBEPzCI+r4ILo3TDR0kMO2pKSQRkgSew4v1I65V2fPIIwKuA==" saltValue="h/7f215MFfqmMnE8N40DRw==" spinCount="100000" sheet="1" objects="1" scenarios="1"/>
  <mergeCells count="16">
    <mergeCell ref="F37:J37"/>
    <mergeCell ref="A1:O1"/>
    <mergeCell ref="AA2:AE2"/>
    <mergeCell ref="T2:T3"/>
    <mergeCell ref="AA3:AE3"/>
    <mergeCell ref="B2:C2"/>
    <mergeCell ref="A2:A3"/>
    <mergeCell ref="U2:U3"/>
    <mergeCell ref="V2:V3"/>
    <mergeCell ref="E2:I2"/>
    <mergeCell ref="R2:R3"/>
    <mergeCell ref="Q2:Q3"/>
    <mergeCell ref="J2:N2"/>
    <mergeCell ref="O2:O3"/>
    <mergeCell ref="P2:P3"/>
    <mergeCell ref="S2:S3"/>
  </mergeCells>
  <conditionalFormatting sqref="A4:O34">
    <cfRule type="expression" priority="2" dxfId="0">
      <formula>TEXT($A$4,"ddd")="Sun"</formula>
    </cfRule>
    <cfRule type="expression" priority="1" dxfId="1">
      <formula>TEXT($A4,"ddd")="Sun"</formula>
    </cfRule>
  </conditionalFormatting>
  <dataValidations count="2">
    <dataValidation allowBlank="1" type="list" errorStyle="stop" showInputMessage="1" showErrorMessage="1" sqref="K36">
      <formula1>"गेहूं,चावल "</formula1>
    </dataValidation>
    <dataValidation allowBlank="1" type="list" errorStyle="stop" showInputMessage="1" showErrorMessage="1" sqref="O4:O34">
      <formula1>"गेहूं,चावल "</formula1>
    </dataValidation>
  </dataValidations>
  <printOptions horizontalCentered="1"/>
  <pageMargins left="0.15" right="0.15" top="0.25" bottom="0.25" header="0.0" footer="0.0"/>
  <pageSetup paperSize="9" scale="94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dimension ref="A1:U18"/>
  <sheetViews>
    <sheetView workbookViewId="0" zoomScale="136">
      <selection activeCell="C9" sqref="C9"/>
    </sheetView>
  </sheetViews>
  <sheetFormatPr defaultRowHeight="15.0" defaultColWidth="10"/>
  <cols>
    <col min="1" max="1" customWidth="1" width="3.5703125" style="123"/>
    <col min="2" max="2" customWidth="1" width="13.425781" style="123"/>
    <col min="3" max="6" customWidth="1" width="7.4257812" style="123"/>
    <col min="7" max="7" customWidth="1" width="11.5703125" style="123"/>
    <col min="8" max="8" customWidth="1" width="12.855469" style="123"/>
    <col min="9" max="9" customWidth="1" width="3.140625" style="123"/>
    <col min="10" max="10" customWidth="1" width="17.425781" style="123"/>
    <col min="11" max="11" customWidth="1" width="9.5703125" style="123"/>
    <col min="12" max="12" customWidth="1" width="10.7109375" style="123"/>
    <col min="13" max="13" customWidth="1" width="10.285156" style="123"/>
    <col min="14" max="16384" customWidth="0" width="9.140625" style="123"/>
  </cols>
  <sheetData>
    <row r="1" spans="8:8">
      <c r="A1" s="124"/>
      <c r="B1" s="124"/>
      <c r="C1" s="124"/>
      <c r="D1" s="124"/>
      <c r="E1" s="124"/>
      <c r="F1" s="124"/>
      <c r="G1" s="124"/>
      <c r="H1" s="124"/>
      <c r="I1" s="124"/>
    </row>
    <row r="2" spans="8:8" ht="20.25">
      <c r="A2" s="124"/>
      <c r="B2" s="125" t="s">
        <v>28</v>
      </c>
      <c r="C2" s="125"/>
      <c r="D2" s="125"/>
      <c r="E2" s="125"/>
      <c r="F2" s="125"/>
      <c r="G2" s="125"/>
      <c r="H2" s="125"/>
      <c r="I2" s="126"/>
      <c r="J2" s="127"/>
      <c r="K2" s="127"/>
      <c r="L2" s="127"/>
      <c r="M2" s="127"/>
      <c r="N2" s="127"/>
      <c r="O2" s="127"/>
    </row>
    <row r="3" spans="8:8" ht="1.5" customHeight="1">
      <c r="A3" s="124"/>
      <c r="B3" s="46"/>
      <c r="C3" s="46"/>
      <c r="D3" s="46"/>
      <c r="E3" s="46"/>
      <c r="F3" s="46"/>
      <c r="G3" s="46"/>
      <c r="H3" s="46"/>
      <c r="I3" s="126"/>
      <c r="J3" s="127"/>
      <c r="K3" s="127"/>
      <c r="L3" s="127"/>
      <c r="M3" s="127"/>
      <c r="N3" s="127"/>
      <c r="O3" s="127"/>
    </row>
    <row r="4" spans="8:8" s="128" ht="18.75" customFormat="1">
      <c r="A4" s="129"/>
      <c r="B4" s="130" t="s">
        <v>29</v>
      </c>
      <c r="C4" s="131" t="s">
        <v>26</v>
      </c>
      <c r="D4" s="132"/>
      <c r="E4" s="133" t="s">
        <v>27</v>
      </c>
      <c r="F4" s="133"/>
      <c r="G4" s="130" t="s">
        <v>38</v>
      </c>
      <c r="H4" s="130" t="s">
        <v>32</v>
      </c>
      <c r="I4" s="126"/>
      <c r="J4" s="134"/>
      <c r="K4" s="134"/>
      <c r="L4" s="134"/>
      <c r="M4" s="134"/>
      <c r="N4" s="134"/>
      <c r="O4" s="134"/>
    </row>
    <row r="5" spans="8:8" s="135" ht="49.5" customFormat="1">
      <c r="A5" s="136"/>
      <c r="B5" s="130"/>
      <c r="C5" s="137" t="s">
        <v>30</v>
      </c>
      <c r="D5" s="137" t="s">
        <v>31</v>
      </c>
      <c r="E5" s="137" t="s">
        <v>30</v>
      </c>
      <c r="F5" s="137" t="s">
        <v>31</v>
      </c>
      <c r="G5" s="130"/>
      <c r="H5" s="130"/>
      <c r="I5" s="138"/>
      <c r="J5" s="139"/>
      <c r="K5" s="139"/>
      <c r="L5" s="139"/>
      <c r="M5" s="139"/>
      <c r="N5" s="139"/>
      <c r="O5" s="139"/>
    </row>
    <row r="6" spans="8:8" ht="18.75">
      <c r="A6" s="124"/>
      <c r="B6" s="140" t="s">
        <v>33</v>
      </c>
      <c r="C6" s="141"/>
      <c r="D6" s="141"/>
      <c r="E6" s="142"/>
      <c r="F6" s="142"/>
      <c r="G6" s="143" t="s">
        <v>39</v>
      </c>
      <c r="H6" s="144">
        <f>ROUND(G7*'DATA ENTRY'!C7,0)</f>
        <v>6929.0</v>
      </c>
      <c r="I6" s="126"/>
      <c r="J6" s="127"/>
      <c r="K6" s="127"/>
      <c r="L6" s="127"/>
      <c r="M6" s="127"/>
      <c r="N6" s="127"/>
      <c r="O6" s="127"/>
    </row>
    <row r="7" spans="8:8" ht="18.75">
      <c r="A7" s="124"/>
      <c r="B7" s="140" t="s">
        <v>34</v>
      </c>
      <c r="C7" s="141"/>
      <c r="D7" s="141"/>
      <c r="E7" s="142"/>
      <c r="F7" s="142"/>
      <c r="G7" s="145">
        <f>'DAILY REGESTER'!B35</f>
        <v>1022.0</v>
      </c>
      <c r="H7" s="146"/>
      <c r="I7" s="126"/>
      <c r="J7" s="127"/>
      <c r="K7" s="127"/>
      <c r="L7" s="127"/>
      <c r="M7" s="127"/>
      <c r="N7" s="127"/>
      <c r="O7" s="127"/>
    </row>
    <row r="8" spans="8:8" ht="18.75">
      <c r="A8" s="124"/>
      <c r="B8" s="140" t="s">
        <v>35</v>
      </c>
      <c r="C8" s="141">
        <f>SUM(C6:C7)</f>
        <v>0.0</v>
      </c>
      <c r="D8" s="141">
        <f>SUM(D6:D7)</f>
        <v>0.0</v>
      </c>
      <c r="E8" s="141">
        <f>SUM(E6:E7)</f>
        <v>0.0</v>
      </c>
      <c r="F8" s="141">
        <f>SUM(F6:F7)</f>
        <v>0.0</v>
      </c>
      <c r="G8" s="143" t="s">
        <v>40</v>
      </c>
      <c r="H8" s="144">
        <f>ROUND(G9*'DATA ENTRY'!D7,0)</f>
        <v>19567.0</v>
      </c>
      <c r="I8" s="126"/>
      <c r="J8" s="127"/>
      <c r="K8" s="127"/>
      <c r="L8" s="127"/>
      <c r="M8" s="127"/>
      <c r="N8" s="127"/>
      <c r="O8" s="127"/>
    </row>
    <row r="9" spans="8:8" ht="18.75">
      <c r="A9" s="124"/>
      <c r="B9" s="140" t="s">
        <v>36</v>
      </c>
      <c r="C9" s="147">
        <f>'DAILY REGESTER'!W35</f>
        <v>64.1</v>
      </c>
      <c r="D9" s="147">
        <f>'DAILY REGESTER'!Y35</f>
        <v>38.1</v>
      </c>
      <c r="E9" s="148">
        <f>'DAILY REGESTER'!X35</f>
        <v>175.79999999999998</v>
      </c>
      <c r="F9" s="148">
        <f>'DAILY REGESTER'!Z35</f>
        <v>112.8</v>
      </c>
      <c r="G9" s="145">
        <f>'DAILY REGESTER'!C35</f>
        <v>1924.0</v>
      </c>
      <c r="H9" s="146"/>
      <c r="I9" s="126"/>
      <c r="J9" s="127"/>
      <c r="K9" s="127"/>
      <c r="L9" s="127"/>
      <c r="M9" s="127"/>
      <c r="N9" s="127"/>
      <c r="O9" s="127"/>
    </row>
    <row r="10" spans="8:8" ht="13.5" customHeight="1">
      <c r="A10" s="124"/>
      <c r="B10" s="149" t="s">
        <v>37</v>
      </c>
      <c r="C10" s="150">
        <f>C8-C9</f>
        <v>-64.1</v>
      </c>
      <c r="D10" s="150">
        <f t="shared" si="0" ref="D10:F10">D8-D9</f>
        <v>-38.1</v>
      </c>
      <c r="E10" s="150">
        <f t="shared" si="0"/>
        <v>-175.8</v>
      </c>
      <c r="F10" s="150">
        <f t="shared" si="0"/>
        <v>-112.8</v>
      </c>
      <c r="G10" s="143" t="s">
        <v>41</v>
      </c>
      <c r="H10" s="144">
        <f>SUM(H6:H9)</f>
        <v>26496.0</v>
      </c>
      <c r="I10" s="126"/>
      <c r="J10" s="127"/>
      <c r="K10" s="127"/>
      <c r="L10" s="127"/>
      <c r="M10" s="127"/>
      <c r="N10" s="127"/>
      <c r="O10" s="127"/>
    </row>
    <row r="11" spans="8:8" ht="13.5" customHeight="1">
      <c r="A11" s="124"/>
      <c r="B11" s="151"/>
      <c r="C11" s="152"/>
      <c r="D11" s="152"/>
      <c r="E11" s="152"/>
      <c r="F11" s="152"/>
      <c r="G11" s="145">
        <f>G7+G9</f>
        <v>2946.0</v>
      </c>
      <c r="H11" s="146"/>
      <c r="I11" s="124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</row>
    <row r="12" spans="8:8" ht="18.75">
      <c r="A12" s="124"/>
      <c r="B12" s="124"/>
      <c r="C12" s="124"/>
      <c r="D12" s="124"/>
      <c r="E12" s="124"/>
      <c r="F12" s="124"/>
      <c r="G12" s="124"/>
      <c r="H12" s="124"/>
      <c r="I12" s="124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</row>
    <row r="13" spans="8:8" ht="18.75"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</row>
    <row r="14" spans="8:8" ht="18.75"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</row>
    <row r="15" spans="8:8" ht="18.75"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</row>
    <row r="16" spans="8:8" ht="18.75"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</row>
    <row r="17" spans="8:8" ht="18.75"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</row>
    <row r="18" spans="8:8" ht="18.75"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</row>
  </sheetData>
  <mergeCells count="14">
    <mergeCell ref="B2:H2"/>
    <mergeCell ref="H6:H7"/>
    <mergeCell ref="H8:H9"/>
    <mergeCell ref="H10:H11"/>
    <mergeCell ref="H4:H5"/>
    <mergeCell ref="D10:D11"/>
    <mergeCell ref="C4:D4"/>
    <mergeCell ref="C10:C11"/>
    <mergeCell ref="G4:G5"/>
    <mergeCell ref="E10:E11"/>
    <mergeCell ref="F10:F11"/>
    <mergeCell ref="E4:F4"/>
    <mergeCell ref="B4:B5"/>
    <mergeCell ref="B10:B11"/>
  </mergeCells>
  <pageMargins left="0.7" right="0.7" top="0.75" bottom="0.75" header="0.3" footer="0.3"/>
</worksheet>
</file>

<file path=xl/worksheets/sheet5.xml><?xml version="1.0" encoding="utf-8"?>
<worksheet xmlns:r="http://schemas.openxmlformats.org/officeDocument/2006/relationships" xmlns="http://schemas.openxmlformats.org/spreadsheetml/2006/main">
  <dimension ref="A1:AA34"/>
  <sheetViews>
    <sheetView workbookViewId="0" zoomScale="80">
      <selection activeCell="D2" sqref="D2"/>
    </sheetView>
  </sheetViews>
  <sheetFormatPr defaultRowHeight="18.75" defaultColWidth="10"/>
  <cols>
    <col min="1" max="1" customWidth="1" width="9.0" style="153"/>
    <col min="2" max="2" customWidth="1" width="18.0" style="153"/>
    <col min="3" max="3" customWidth="1" width="12.285156" style="153"/>
    <col min="4" max="4" customWidth="1" width="17.140625" style="153"/>
    <col min="5" max="5" customWidth="1" width="14.0" style="153"/>
    <col min="6" max="6" customWidth="1" width="15.855469" style="153"/>
    <col min="7" max="7" customWidth="1" width="3.4257812" style="153"/>
    <col min="8" max="8" hidden="1" customWidth="1" width="7.4257812" style="153"/>
    <col min="9" max="9" hidden="1" customWidth="1" width="16.285156" style="153"/>
    <col min="10" max="10" hidden="1" customWidth="1" width="11.855469" style="153"/>
    <col min="11" max="11" hidden="1" customWidth="1" width="0.0" style="153"/>
    <col min="12" max="12" customWidth="1" width="0.7109375" style="153"/>
    <col min="13" max="13" customWidth="1" width="1.8554688" style="153"/>
    <col min="14" max="14" customWidth="1" width="8.7109375" style="153"/>
    <col min="15" max="15" customWidth="1" width="14.140625" style="153"/>
    <col min="16" max="16" customWidth="1" width="25.140625" style="153"/>
    <col min="17" max="17" customWidth="1" width="12.5703125" style="153"/>
    <col min="18" max="18" customWidth="1" width="10.7109375" style="153"/>
    <col min="19" max="19" customWidth="1" width="14.285156" style="153"/>
    <col min="20" max="20" customWidth="1" width="3.2851562" style="153"/>
    <col min="21" max="21" customWidth="0" width="9.140625" style="153"/>
    <col min="22" max="22" customWidth="1" width="19.710938" style="153"/>
    <col min="23" max="23" customWidth="1" width="19.140625" style="153"/>
    <col min="24" max="24" customWidth="1" width="12.0" style="153"/>
    <col min="25" max="25" customWidth="1" width="11.0" style="153"/>
    <col min="26" max="26" customWidth="1" width="13.7109375" style="153"/>
    <col min="27" max="16384" customWidth="0" width="9.140625" style="153"/>
  </cols>
  <sheetData>
    <row r="1" spans="8:8">
      <c r="A1" s="154" t="s">
        <v>42</v>
      </c>
      <c r="B1" s="154"/>
      <c r="C1" s="154"/>
      <c r="D1" s="154"/>
      <c r="E1" s="154"/>
      <c r="F1" s="154"/>
      <c r="G1" s="155"/>
      <c r="H1" s="156"/>
      <c r="I1" s="156"/>
      <c r="J1" s="156"/>
      <c r="K1" s="156"/>
      <c r="L1" s="156"/>
      <c r="M1" s="156"/>
      <c r="N1" s="154" t="s">
        <v>61</v>
      </c>
      <c r="O1" s="154"/>
      <c r="P1" s="154"/>
      <c r="Q1" s="154"/>
      <c r="R1" s="154"/>
      <c r="S1" s="154"/>
      <c r="T1" s="156"/>
      <c r="U1" s="154" t="s">
        <v>62</v>
      </c>
      <c r="V1" s="154"/>
      <c r="W1" s="154"/>
      <c r="X1" s="154"/>
      <c r="Y1" s="154"/>
      <c r="Z1" s="154"/>
    </row>
    <row r="2" spans="8:8">
      <c r="A2" s="157" t="s">
        <v>47</v>
      </c>
      <c r="B2" s="157" t="s">
        <v>43</v>
      </c>
      <c r="C2" s="157" t="s">
        <v>44</v>
      </c>
      <c r="D2" s="157" t="s">
        <v>119</v>
      </c>
      <c r="E2" s="158" t="s">
        <v>45</v>
      </c>
      <c r="F2" s="157" t="s">
        <v>46</v>
      </c>
      <c r="G2" s="159"/>
      <c r="H2" s="156"/>
      <c r="I2" s="156"/>
      <c r="J2" s="156"/>
      <c r="K2" s="156"/>
      <c r="L2" s="156"/>
      <c r="M2" s="156"/>
      <c r="N2" s="157" t="s">
        <v>90</v>
      </c>
      <c r="O2" s="157" t="s">
        <v>60</v>
      </c>
      <c r="P2" s="157" t="s">
        <v>43</v>
      </c>
      <c r="Q2" s="157" t="s">
        <v>44</v>
      </c>
      <c r="R2" s="157" t="s">
        <v>45</v>
      </c>
      <c r="S2" s="157" t="s">
        <v>46</v>
      </c>
      <c r="T2" s="156"/>
      <c r="U2" s="160" t="s">
        <v>47</v>
      </c>
      <c r="V2" s="160" t="s">
        <v>60</v>
      </c>
      <c r="W2" s="160" t="s">
        <v>43</v>
      </c>
      <c r="X2" s="160" t="s">
        <v>44</v>
      </c>
      <c r="Y2" s="160" t="s">
        <v>45</v>
      </c>
      <c r="Z2" s="160" t="s">
        <v>46</v>
      </c>
    </row>
    <row r="3" spans="8:8">
      <c r="A3" s="160">
        <v>1.0</v>
      </c>
      <c r="B3" s="160" t="s">
        <v>48</v>
      </c>
      <c r="C3" s="161">
        <f>'DAILY REGESTER'!R35*2/5</f>
        <v>31.263999999999992</v>
      </c>
      <c r="D3" s="162">
        <v>31.25</v>
      </c>
      <c r="E3" s="162">
        <v>100.0</v>
      </c>
      <c r="F3" s="163">
        <f>ROUND(E3*D3,0)</f>
        <v>3125.0</v>
      </c>
      <c r="G3" s="164"/>
      <c r="H3" s="156"/>
      <c r="I3" s="156"/>
      <c r="J3" s="156"/>
      <c r="K3" s="156"/>
      <c r="L3" s="156"/>
      <c r="M3" s="156"/>
      <c r="N3" s="160">
        <v>1.0</v>
      </c>
      <c r="O3" s="165">
        <f>'DAILY REGESTER'!A4</f>
        <v>45870.0</v>
      </c>
      <c r="P3" s="166" t="s">
        <v>106</v>
      </c>
      <c r="Q3" s="167">
        <f>'DAILY REGESTER'!V4</f>
        <v>10.600000000000001</v>
      </c>
      <c r="R3" s="166">
        <v>30.0</v>
      </c>
      <c r="S3" s="163">
        <f>Q3*R3</f>
        <v>318.00000000000006</v>
      </c>
      <c r="T3" s="156"/>
      <c r="U3" s="160">
        <v>1.0</v>
      </c>
      <c r="V3" s="165">
        <f t="array" ref="V3:V6">_xlfn._XLWS.FILTER('DAILY REGESTER'!A4:A34,TEXT('DAILY REGESTER'!A4:A34,"dddd")="Tuesday")</f>
        <v>45874.0</v>
      </c>
      <c r="W3" s="162"/>
      <c r="X3" s="161">
        <f>IF(V3="","",VLOOKUP(V3,'DAILY REGESTER'!$A$4:$D$34,4,FALSE)*0.1)</f>
        <v>16.7</v>
      </c>
      <c r="Y3" s="162">
        <v>35.0</v>
      </c>
      <c r="Z3" s="161">
        <f>X3*Y3</f>
        <v>584.5</v>
      </c>
    </row>
    <row r="4" spans="8:8">
      <c r="A4" s="160">
        <v>2.0</v>
      </c>
      <c r="B4" s="160" t="s">
        <v>49</v>
      </c>
      <c r="C4" s="161">
        <f>'DAILY REGESTER'!R35*2/5</f>
        <v>31.263999999999992</v>
      </c>
      <c r="D4" s="162">
        <v>31.25</v>
      </c>
      <c r="E4" s="162">
        <v>80.0</v>
      </c>
      <c r="F4" s="163">
        <f t="shared" si="0" ref="F4:F13">ROUND(E4*D4,0)</f>
        <v>2500.0</v>
      </c>
      <c r="G4" s="164"/>
      <c r="H4" s="156"/>
      <c r="I4" s="156"/>
      <c r="J4" s="156"/>
      <c r="K4" s="156"/>
      <c r="L4" s="156"/>
      <c r="M4" s="156"/>
      <c r="N4" s="160">
        <v>2.0</v>
      </c>
      <c r="O4" s="165">
        <f>'DAILY REGESTER'!A5</f>
        <v>45871.0</v>
      </c>
      <c r="P4" s="166" t="s">
        <v>107</v>
      </c>
      <c r="Q4" s="167">
        <f>'DAILY REGESTER'!V5</f>
        <v>10.4</v>
      </c>
      <c r="R4" s="166">
        <v>35.0</v>
      </c>
      <c r="S4" s="163">
        <f t="shared" si="1" ref="S4:S33">Q4*R4</f>
        <v>364.0</v>
      </c>
      <c r="T4" s="156"/>
      <c r="U4" s="160">
        <v>2.0</v>
      </c>
      <c r="V4" s="165">
        <v>45881.0</v>
      </c>
      <c r="W4" s="162"/>
      <c r="X4" s="161">
        <f>IF(V4="","",VLOOKUP(V4,'DAILY REGESTER'!$A$4:$D$34,4,FALSE)*0.1)</f>
        <v>15.5</v>
      </c>
      <c r="Y4" s="162">
        <v>30.0</v>
      </c>
      <c r="Z4" s="161">
        <f t="shared" si="2" ref="Z4:Z7">X4*Y4</f>
        <v>465.0</v>
      </c>
    </row>
    <row r="5" spans="8:8">
      <c r="A5" s="160">
        <v>3.0</v>
      </c>
      <c r="B5" s="160" t="s">
        <v>50</v>
      </c>
      <c r="C5" s="161">
        <f>'DAILY REGESTER'!R35*1/5</f>
        <v>15.631999999999996</v>
      </c>
      <c r="D5" s="162">
        <v>15.6</v>
      </c>
      <c r="E5" s="162">
        <v>110.0</v>
      </c>
      <c r="F5" s="163">
        <f t="shared" si="0"/>
        <v>1716.0</v>
      </c>
      <c r="G5" s="164"/>
      <c r="H5" s="156"/>
      <c r="I5" s="156"/>
      <c r="J5" s="156"/>
      <c r="K5" s="156"/>
      <c r="L5" s="156"/>
      <c r="M5" s="156"/>
      <c r="N5" s="160">
        <v>3.0</v>
      </c>
      <c r="O5" s="165">
        <f>'DAILY REGESTER'!A6</f>
        <v>45872.0</v>
      </c>
      <c r="P5" s="166"/>
      <c r="Q5" s="167">
        <f>'DAILY REGESTER'!V6</f>
        <v>0.0</v>
      </c>
      <c r="R5" s="166">
        <v>0.0</v>
      </c>
      <c r="S5" s="163">
        <f t="shared" si="1"/>
        <v>0.0</v>
      </c>
      <c r="T5" s="156"/>
      <c r="U5" s="160">
        <v>3.0</v>
      </c>
      <c r="V5" s="165">
        <v>45888.0</v>
      </c>
      <c r="W5" s="162"/>
      <c r="X5" s="161">
        <f>IF(V5="","",VLOOKUP(V5,'DAILY REGESTER'!$A$4:$D$34,4,FALSE)*0.1)</f>
        <v>18.3</v>
      </c>
      <c r="Y5" s="162">
        <v>30.0</v>
      </c>
      <c r="Z5" s="161">
        <f t="shared" si="2"/>
        <v>549.0</v>
      </c>
    </row>
    <row r="6" spans="8:8">
      <c r="A6" s="160">
        <v>4.0</v>
      </c>
      <c r="B6" s="160" t="s">
        <v>51</v>
      </c>
      <c r="C6" s="161">
        <f>'DAILY REGESTER'!B35*5/1000+'DAILY REGESTER'!C35*7.5/1000</f>
        <v>19.54</v>
      </c>
      <c r="D6" s="162">
        <v>19.5</v>
      </c>
      <c r="E6" s="162">
        <v>160.0</v>
      </c>
      <c r="F6" s="163">
        <f t="shared" si="0"/>
        <v>3120.0</v>
      </c>
      <c r="G6" s="164"/>
      <c r="H6" s="156"/>
      <c r="I6" s="156"/>
      <c r="J6" s="156"/>
      <c r="K6" s="156"/>
      <c r="L6" s="156"/>
      <c r="M6" s="156"/>
      <c r="N6" s="160">
        <v>4.0</v>
      </c>
      <c r="O6" s="165">
        <f>'DAILY REGESTER'!A7</f>
        <v>45873.0</v>
      </c>
      <c r="P6" s="166" t="s">
        <v>108</v>
      </c>
      <c r="Q6" s="167">
        <f>'DAILY REGESTER'!V7</f>
        <v>9.5</v>
      </c>
      <c r="R6" s="166">
        <v>40.0</v>
      </c>
      <c r="S6" s="163">
        <f t="shared" si="1"/>
        <v>380.0</v>
      </c>
      <c r="T6" s="156"/>
      <c r="U6" s="160">
        <v>4.0</v>
      </c>
      <c r="V6" s="165">
        <v>45895.0</v>
      </c>
      <c r="W6" s="162"/>
      <c r="X6" s="161">
        <f>IF(V6="","",VLOOKUP(V6,'DAILY REGESTER'!$A$4:$D$34,4,FALSE)*0.1)</f>
        <v>0.0</v>
      </c>
      <c r="Y6" s="162">
        <v>40.0</v>
      </c>
      <c r="Z6" s="161">
        <f t="shared" si="2"/>
        <v>0.0</v>
      </c>
    </row>
    <row r="7" spans="8:8">
      <c r="A7" s="160">
        <v>5.0</v>
      </c>
      <c r="B7" s="160" t="s">
        <v>52</v>
      </c>
      <c r="C7" s="161">
        <f>Sheet2!G11*2/1000</f>
        <v>5.892</v>
      </c>
      <c r="D7" s="162">
        <v>6.0</v>
      </c>
      <c r="E7" s="162">
        <v>300.0</v>
      </c>
      <c r="F7" s="163">
        <f t="shared" si="0"/>
        <v>1800.0</v>
      </c>
      <c r="G7" s="164"/>
      <c r="H7" s="156"/>
      <c r="I7" s="156"/>
      <c r="J7" s="156"/>
      <c r="K7" s="156"/>
      <c r="L7" s="156"/>
      <c r="M7" s="156"/>
      <c r="N7" s="160">
        <v>5.0</v>
      </c>
      <c r="O7" s="165">
        <f>'DAILY REGESTER'!A8</f>
        <v>45874.0</v>
      </c>
      <c r="P7" s="166" t="s">
        <v>109</v>
      </c>
      <c r="Q7" s="167">
        <f>'DAILY REGESTER'!V8</f>
        <v>11.100000000000001</v>
      </c>
      <c r="R7" s="166">
        <v>35.0</v>
      </c>
      <c r="S7" s="163">
        <f t="shared" si="1"/>
        <v>388.50000000000006</v>
      </c>
      <c r="T7" s="156"/>
      <c r="U7" s="160">
        <v>5.0</v>
      </c>
      <c r="V7" s="168"/>
      <c r="W7" s="161"/>
      <c r="X7" s="161">
        <v>0.0</v>
      </c>
      <c r="Y7" s="162">
        <v>40.0</v>
      </c>
      <c r="Z7" s="169">
        <f t="shared" si="2"/>
        <v>0.0</v>
      </c>
    </row>
    <row r="8" spans="8:8">
      <c r="A8" s="160">
        <v>6.0</v>
      </c>
      <c r="B8" s="160" t="s">
        <v>53</v>
      </c>
      <c r="C8" s="161">
        <f>Sheet2!G11*2/1000</f>
        <v>5.892</v>
      </c>
      <c r="D8" s="162">
        <v>6.0</v>
      </c>
      <c r="E8" s="162">
        <v>280.0</v>
      </c>
      <c r="F8" s="163">
        <f t="shared" si="0"/>
        <v>1680.0</v>
      </c>
      <c r="G8" s="164"/>
      <c r="H8" s="156"/>
      <c r="I8" s="156"/>
      <c r="J8" s="156"/>
      <c r="K8" s="156"/>
      <c r="L8" s="156"/>
      <c r="M8" s="156"/>
      <c r="N8" s="160">
        <v>6.0</v>
      </c>
      <c r="O8" s="165">
        <f>'DAILY REGESTER'!A9</f>
        <v>45875.0</v>
      </c>
      <c r="P8" s="166"/>
      <c r="Q8" s="167">
        <f>'DAILY REGESTER'!V9</f>
        <v>0.0</v>
      </c>
      <c r="R8" s="166">
        <v>0.0</v>
      </c>
      <c r="S8" s="163">
        <f t="shared" si="1"/>
        <v>0.0</v>
      </c>
      <c r="T8" s="156"/>
      <c r="U8" s="160">
        <v>6.0</v>
      </c>
      <c r="V8" s="170" t="s">
        <v>14</v>
      </c>
      <c r="W8" s="170"/>
      <c r="X8" s="170"/>
      <c r="Y8" s="170"/>
      <c r="Z8" s="161">
        <f>SUM(Z3:Z7)</f>
        <v>1598.5</v>
      </c>
    </row>
    <row r="9" spans="8:8">
      <c r="A9" s="160">
        <v>7.0</v>
      </c>
      <c r="B9" s="160" t="s">
        <v>54</v>
      </c>
      <c r="C9" s="161">
        <f>Sheet2!G11*1.3/1000</f>
        <v>3.8298</v>
      </c>
      <c r="D9" s="162">
        <v>3.5</v>
      </c>
      <c r="E9" s="162">
        <v>250.0</v>
      </c>
      <c r="F9" s="163">
        <f t="shared" si="0"/>
        <v>875.0</v>
      </c>
      <c r="G9" s="164"/>
      <c r="H9" s="156"/>
      <c r="I9" s="156"/>
      <c r="J9" s="156"/>
      <c r="K9" s="156"/>
      <c r="L9" s="156"/>
      <c r="M9" s="156"/>
      <c r="N9" s="160">
        <v>7.0</v>
      </c>
      <c r="O9" s="165">
        <f>'DAILY REGESTER'!A10</f>
        <v>45876.0</v>
      </c>
      <c r="P9" s="166" t="s">
        <v>110</v>
      </c>
      <c r="Q9" s="167">
        <f>'DAILY REGESTER'!V10</f>
        <v>9.200000000000001</v>
      </c>
      <c r="R9" s="166">
        <v>30.0</v>
      </c>
      <c r="S9" s="163">
        <f t="shared" si="1"/>
        <v>276.00000000000006</v>
      </c>
      <c r="T9" s="156"/>
      <c r="U9" s="171" t="s">
        <v>74</v>
      </c>
      <c r="V9" s="171"/>
      <c r="W9" s="171"/>
      <c r="X9" s="156"/>
      <c r="Y9" s="156"/>
      <c r="Z9" s="156"/>
    </row>
    <row r="10" spans="8:8">
      <c r="A10" s="160">
        <v>8.0</v>
      </c>
      <c r="B10" s="160" t="s">
        <v>55</v>
      </c>
      <c r="C10" s="161">
        <f>Sheet2!G11*0.25/1000</f>
        <v>0.7365</v>
      </c>
      <c r="D10" s="162">
        <v>0.75</v>
      </c>
      <c r="E10" s="162">
        <v>350.0</v>
      </c>
      <c r="F10" s="163">
        <f t="shared" si="0"/>
        <v>263.0</v>
      </c>
      <c r="G10" s="164"/>
      <c r="H10" s="156"/>
      <c r="I10" s="156"/>
      <c r="J10" s="156"/>
      <c r="K10" s="156"/>
      <c r="L10" s="156"/>
      <c r="M10" s="156"/>
      <c r="N10" s="160">
        <v>8.0</v>
      </c>
      <c r="O10" s="165">
        <f>'DAILY REGESTER'!A11</f>
        <v>45877.0</v>
      </c>
      <c r="P10" s="166" t="s">
        <v>107</v>
      </c>
      <c r="Q10" s="167">
        <f>'DAILY REGESTER'!V11</f>
        <v>10.3</v>
      </c>
      <c r="R10" s="166">
        <v>30.0</v>
      </c>
      <c r="S10" s="163">
        <f t="shared" si="1"/>
        <v>309.0</v>
      </c>
      <c r="T10" s="156"/>
      <c r="U10" s="172" t="s">
        <v>75</v>
      </c>
      <c r="V10" s="173">
        <f>V29</f>
        <v>15139.0</v>
      </c>
      <c r="W10" s="173"/>
      <c r="X10" s="156"/>
      <c r="Y10" s="156"/>
      <c r="Z10" s="156"/>
    </row>
    <row r="11" spans="8:8">
      <c r="A11" s="160">
        <v>9.0</v>
      </c>
      <c r="B11" s="160" t="s">
        <v>56</v>
      </c>
      <c r="C11" s="161">
        <f>Sheet2!G11*2/1000</f>
        <v>5.892</v>
      </c>
      <c r="D11" s="162">
        <v>6.0</v>
      </c>
      <c r="E11" s="162">
        <v>10.0</v>
      </c>
      <c r="F11" s="163">
        <f t="shared" si="0"/>
        <v>60.0</v>
      </c>
      <c r="G11" s="164"/>
      <c r="H11" s="156"/>
      <c r="I11" s="156"/>
      <c r="J11" s="156"/>
      <c r="K11" s="156"/>
      <c r="L11" s="156"/>
      <c r="M11" s="156"/>
      <c r="N11" s="160">
        <v>9.0</v>
      </c>
      <c r="O11" s="165">
        <f>'DAILY REGESTER'!A12</f>
        <v>45878.0</v>
      </c>
      <c r="P11" s="166"/>
      <c r="Q11" s="167">
        <f>'DAILY REGESTER'!V12</f>
        <v>0.0</v>
      </c>
      <c r="R11" s="166">
        <v>30.0</v>
      </c>
      <c r="S11" s="163">
        <f t="shared" si="1"/>
        <v>0.0</v>
      </c>
      <c r="T11" s="156"/>
      <c r="U11" s="172" t="s">
        <v>66</v>
      </c>
      <c r="V11" s="173">
        <f t="shared" si="3" ref="V11:V14">V30</f>
        <v>1598.5</v>
      </c>
      <c r="W11" s="173"/>
      <c r="X11" s="156"/>
      <c r="Y11" s="156"/>
      <c r="Z11" s="156"/>
    </row>
    <row r="12" spans="8:8">
      <c r="A12" s="160">
        <v>10.0</v>
      </c>
      <c r="B12" s="160" t="s">
        <v>84</v>
      </c>
      <c r="C12" s="161">
        <v>2.0</v>
      </c>
      <c r="D12" s="162">
        <v>0.0</v>
      </c>
      <c r="E12" s="162">
        <v>1.0</v>
      </c>
      <c r="F12" s="163">
        <f t="shared" si="0"/>
        <v>0.0</v>
      </c>
      <c r="G12" s="164"/>
      <c r="H12" s="156"/>
      <c r="I12" s="156"/>
      <c r="J12" s="156"/>
      <c r="K12" s="156"/>
      <c r="L12" s="156"/>
      <c r="M12" s="156"/>
      <c r="N12" s="160">
        <v>10.0</v>
      </c>
      <c r="O12" s="165">
        <f>'DAILY REGESTER'!A13</f>
        <v>45879.0</v>
      </c>
      <c r="P12" s="166" t="s">
        <v>117</v>
      </c>
      <c r="Q12" s="167">
        <f>'DAILY REGESTER'!V13</f>
        <v>0.0</v>
      </c>
      <c r="R12" s="166">
        <v>30.0</v>
      </c>
      <c r="S12" s="163">
        <f t="shared" si="1"/>
        <v>0.0</v>
      </c>
      <c r="T12" s="156"/>
      <c r="U12" s="172" t="s">
        <v>67</v>
      </c>
      <c r="V12" s="173">
        <f t="shared" si="3"/>
        <v>6261.5</v>
      </c>
      <c r="W12" s="173"/>
      <c r="X12" s="156"/>
      <c r="Y12" s="156"/>
      <c r="Z12" s="156"/>
    </row>
    <row r="13" spans="8:8">
      <c r="A13" s="160">
        <v>11.0</v>
      </c>
      <c r="B13" s="160" t="s">
        <v>85</v>
      </c>
      <c r="C13" s="161">
        <v>0.0</v>
      </c>
      <c r="D13" s="162"/>
      <c r="E13" s="162">
        <v>10.0</v>
      </c>
      <c r="F13" s="163">
        <f t="shared" si="0"/>
        <v>0.0</v>
      </c>
      <c r="G13" s="164"/>
      <c r="H13" s="156"/>
      <c r="I13" s="156"/>
      <c r="J13" s="156"/>
      <c r="K13" s="156"/>
      <c r="L13" s="156"/>
      <c r="M13" s="156"/>
      <c r="N13" s="160">
        <v>11.0</v>
      </c>
      <c r="O13" s="165">
        <f>'DAILY REGESTER'!A14</f>
        <v>45880.0</v>
      </c>
      <c r="P13" s="166" t="s">
        <v>111</v>
      </c>
      <c r="Q13" s="167">
        <f>'DAILY REGESTER'!V14</f>
        <v>7.1000000000000005</v>
      </c>
      <c r="R13" s="166">
        <v>40.0</v>
      </c>
      <c r="S13" s="163">
        <f t="shared" si="1"/>
        <v>284.0</v>
      </c>
      <c r="T13" s="156"/>
      <c r="U13" s="172" t="s">
        <v>68</v>
      </c>
      <c r="V13" s="173">
        <f t="shared" si="3"/>
        <v>1784.0</v>
      </c>
      <c r="W13" s="173"/>
      <c r="X13" s="156"/>
      <c r="Y13" s="156" t="s">
        <v>100</v>
      </c>
      <c r="Z13" s="156"/>
    </row>
    <row r="14" spans="8:8">
      <c r="A14" s="174" t="s">
        <v>57</v>
      </c>
      <c r="B14" s="174"/>
      <c r="C14" s="174"/>
      <c r="D14" s="175"/>
      <c r="E14" s="175"/>
      <c r="F14" s="163">
        <f>SUM(F3:F13)</f>
        <v>15139.0</v>
      </c>
      <c r="G14" s="156"/>
      <c r="H14" s="156"/>
      <c r="I14" s="156"/>
      <c r="J14" s="164"/>
      <c r="K14" s="156"/>
      <c r="L14" s="156"/>
      <c r="M14" s="156"/>
      <c r="N14" s="160">
        <v>12.0</v>
      </c>
      <c r="O14" s="165">
        <f>'DAILY REGESTER'!A15</f>
        <v>45881.0</v>
      </c>
      <c r="P14" s="166" t="s">
        <v>106</v>
      </c>
      <c r="Q14" s="167">
        <f>'DAILY REGESTER'!V15</f>
        <v>10.3</v>
      </c>
      <c r="R14" s="166">
        <v>30.0</v>
      </c>
      <c r="S14" s="163">
        <f t="shared" si="1"/>
        <v>309.0</v>
      </c>
      <c r="T14" s="156"/>
      <c r="U14" s="172" t="s">
        <v>69</v>
      </c>
      <c r="V14" s="173">
        <f t="shared" si="3"/>
        <v>719.7</v>
      </c>
      <c r="W14" s="173"/>
      <c r="X14" s="156"/>
      <c r="Y14" s="156"/>
      <c r="Z14" s="156"/>
    </row>
    <row r="15" spans="8:8">
      <c r="A15" s="154" t="s">
        <v>58</v>
      </c>
      <c r="B15" s="154"/>
      <c r="C15" s="154"/>
      <c r="D15" s="154"/>
      <c r="E15" s="154"/>
      <c r="F15" s="154"/>
      <c r="G15" s="176"/>
      <c r="H15" s="156"/>
      <c r="I15" s="156"/>
      <c r="J15" s="156"/>
      <c r="K15" s="156"/>
      <c r="L15" s="156"/>
      <c r="M15" s="156"/>
      <c r="N15" s="160">
        <v>13.0</v>
      </c>
      <c r="O15" s="165">
        <f>'DAILY REGESTER'!A16</f>
        <v>45882.0</v>
      </c>
      <c r="P15" s="166" t="s">
        <v>112</v>
      </c>
      <c r="Q15" s="167">
        <f>'DAILY REGESTER'!V16</f>
        <v>11.8</v>
      </c>
      <c r="R15" s="166">
        <v>25.0</v>
      </c>
      <c r="S15" s="163">
        <f t="shared" si="1"/>
        <v>295.0</v>
      </c>
      <c r="T15" s="156"/>
      <c r="U15" s="172" t="s">
        <v>89</v>
      </c>
      <c r="V15" s="173">
        <f>F33</f>
        <v>993.2999999999993</v>
      </c>
      <c r="W15" s="173"/>
      <c r="X15" s="156"/>
      <c r="Y15" s="156"/>
      <c r="Z15" s="156"/>
    </row>
    <row r="16" spans="8:8">
      <c r="A16" s="157" t="s">
        <v>47</v>
      </c>
      <c r="B16" s="157" t="s">
        <v>43</v>
      </c>
      <c r="C16" s="157" t="s">
        <v>44</v>
      </c>
      <c r="D16" s="157"/>
      <c r="E16" s="157" t="s">
        <v>45</v>
      </c>
      <c r="F16" s="157" t="s">
        <v>46</v>
      </c>
      <c r="G16" s="156"/>
      <c r="H16" s="156"/>
      <c r="I16" s="156"/>
      <c r="J16" s="156"/>
      <c r="K16" s="156"/>
      <c r="L16" s="156"/>
      <c r="M16" s="156"/>
      <c r="N16" s="160">
        <v>14.0</v>
      </c>
      <c r="O16" s="165">
        <f>'DAILY REGESTER'!A17</f>
        <v>45883.0</v>
      </c>
      <c r="P16" s="166" t="s">
        <v>113</v>
      </c>
      <c r="Q16" s="167">
        <f>'DAILY REGESTER'!V17</f>
        <v>11.3</v>
      </c>
      <c r="R16" s="166">
        <v>30.0</v>
      </c>
      <c r="S16" s="163">
        <f t="shared" si="1"/>
        <v>339.0</v>
      </c>
      <c r="T16" s="156"/>
      <c r="U16" s="177" t="s">
        <v>35</v>
      </c>
      <c r="V16" s="178">
        <f>SUM(V10:W15)</f>
        <v>26496.0</v>
      </c>
      <c r="W16" s="178"/>
      <c r="X16" s="156"/>
      <c r="Y16" s="156"/>
      <c r="Z16" s="156"/>
    </row>
    <row r="17" spans="8:8">
      <c r="A17" s="160">
        <v>1.0</v>
      </c>
      <c r="B17" s="160" t="s">
        <v>59</v>
      </c>
      <c r="C17" s="162">
        <v>2.0</v>
      </c>
      <c r="D17" s="162"/>
      <c r="E17" s="166">
        <v>892.0</v>
      </c>
      <c r="F17" s="163">
        <f>E17*C17</f>
        <v>1784.0</v>
      </c>
      <c r="G17" s="156"/>
      <c r="H17" s="156"/>
      <c r="I17" s="156"/>
      <c r="J17" s="156"/>
      <c r="K17" s="156"/>
      <c r="L17" s="156"/>
      <c r="M17" s="156"/>
      <c r="N17" s="160">
        <v>15.0</v>
      </c>
      <c r="O17" s="165">
        <f>'DAILY REGESTER'!A18</f>
        <v>45884.0</v>
      </c>
      <c r="P17" s="166"/>
      <c r="Q17" s="167">
        <f>'DAILY REGESTER'!V18</f>
        <v>0.0</v>
      </c>
      <c r="R17" s="166">
        <v>40.0</v>
      </c>
      <c r="S17" s="163">
        <f t="shared" si="1"/>
        <v>0.0</v>
      </c>
      <c r="T17" s="179"/>
      <c r="U17" s="179"/>
      <c r="V17" s="179"/>
      <c r="W17" s="179"/>
      <c r="X17" s="156"/>
      <c r="Y17" s="156"/>
      <c r="Z17" s="156"/>
    </row>
    <row r="18" spans="8:8">
      <c r="A18" s="160">
        <v>2.0</v>
      </c>
      <c r="B18" s="160"/>
      <c r="C18" s="166"/>
      <c r="D18" s="166"/>
      <c r="E18" s="166"/>
      <c r="F18" s="161"/>
      <c r="G18" s="156"/>
      <c r="H18" s="156"/>
      <c r="I18" s="156"/>
      <c r="J18" s="156"/>
      <c r="K18" s="156"/>
      <c r="L18" s="156"/>
      <c r="M18" s="156"/>
      <c r="N18" s="160">
        <v>16.0</v>
      </c>
      <c r="O18" s="165">
        <f>'DAILY REGESTER'!A19</f>
        <v>45885.0</v>
      </c>
      <c r="P18" s="166"/>
      <c r="Q18" s="167">
        <f>'DAILY REGESTER'!V19</f>
        <v>0.0</v>
      </c>
      <c r="R18" s="166">
        <v>30.0</v>
      </c>
      <c r="S18" s="163">
        <f t="shared" si="1"/>
        <v>0.0</v>
      </c>
      <c r="T18" s="179"/>
      <c r="U18" s="180" t="s">
        <v>70</v>
      </c>
      <c r="V18" s="180"/>
      <c r="W18" s="180"/>
      <c r="X18" s="156"/>
      <c r="Y18" s="156"/>
      <c r="Z18" s="156"/>
    </row>
    <row r="19" spans="8:8">
      <c r="A19" s="160">
        <v>3.0</v>
      </c>
      <c r="B19" s="160"/>
      <c r="C19" s="160"/>
      <c r="D19" s="160"/>
      <c r="E19" s="160"/>
      <c r="F19" s="161"/>
      <c r="G19" s="156"/>
      <c r="H19" s="156"/>
      <c r="I19" s="156"/>
      <c r="J19" s="156"/>
      <c r="K19" s="156"/>
      <c r="L19" s="156"/>
      <c r="M19" s="156"/>
      <c r="N19" s="160">
        <v>17.0</v>
      </c>
      <c r="O19" s="165">
        <f>'DAILY REGESTER'!A20</f>
        <v>45886.0</v>
      </c>
      <c r="P19" s="166" t="s">
        <v>118</v>
      </c>
      <c r="Q19" s="167">
        <f>'DAILY REGESTER'!V20</f>
        <v>0.0</v>
      </c>
      <c r="R19" s="166">
        <v>50.0</v>
      </c>
      <c r="S19" s="163">
        <f t="shared" si="1"/>
        <v>0.0</v>
      </c>
      <c r="T19" s="179"/>
      <c r="U19" s="180" t="s">
        <v>71</v>
      </c>
      <c r="V19" s="180"/>
      <c r="W19" s="181">
        <f>Sheet2!H10</f>
        <v>26496.0</v>
      </c>
      <c r="X19" s="156"/>
      <c r="Y19" s="156"/>
      <c r="Z19" s="156"/>
    </row>
    <row r="20" spans="8:8">
      <c r="A20" s="160">
        <v>4.0</v>
      </c>
      <c r="B20" s="182" t="s">
        <v>35</v>
      </c>
      <c r="C20" s="183"/>
      <c r="D20" s="183"/>
      <c r="E20" s="184"/>
      <c r="F20" s="161">
        <f>SUM(F17:F19)</f>
        <v>1784.0</v>
      </c>
      <c r="G20" s="156"/>
      <c r="H20" s="156"/>
      <c r="I20" s="156"/>
      <c r="J20" s="156"/>
      <c r="K20" s="156"/>
      <c r="L20" s="156"/>
      <c r="M20" s="156"/>
      <c r="N20" s="160">
        <v>18.0</v>
      </c>
      <c r="O20" s="165">
        <f>'DAILY REGESTER'!A21</f>
        <v>45887.0</v>
      </c>
      <c r="P20" s="166" t="s">
        <v>112</v>
      </c>
      <c r="Q20" s="167">
        <f>'DAILY REGESTER'!V21</f>
        <v>11.100000000000001</v>
      </c>
      <c r="R20" s="166">
        <v>40.0</v>
      </c>
      <c r="S20" s="163">
        <f t="shared" si="1"/>
        <v>444.00000000000006</v>
      </c>
      <c r="T20" s="179"/>
      <c r="U20" s="185" t="s">
        <v>72</v>
      </c>
      <c r="V20" s="185"/>
      <c r="W20" s="181">
        <f>V34</f>
        <v>25502.7</v>
      </c>
      <c r="X20" s="156"/>
      <c r="Y20" s="156"/>
      <c r="Z20" s="156"/>
    </row>
    <row r="21" spans="8:8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60">
        <v>19.0</v>
      </c>
      <c r="O21" s="165">
        <f>'DAILY REGESTER'!A22</f>
        <v>45888.0</v>
      </c>
      <c r="P21" s="166" t="s">
        <v>106</v>
      </c>
      <c r="Q21" s="167">
        <f>'DAILY REGESTER'!V22</f>
        <v>12.3</v>
      </c>
      <c r="R21" s="166">
        <v>30.0</v>
      </c>
      <c r="S21" s="163">
        <f t="shared" si="1"/>
        <v>369.0</v>
      </c>
      <c r="T21" s="179"/>
      <c r="U21" s="185" t="s">
        <v>70</v>
      </c>
      <c r="V21" s="185"/>
      <c r="W21" s="181">
        <f>W19-W20</f>
        <v>993.2999999999993</v>
      </c>
      <c r="X21" s="156"/>
      <c r="Y21" s="156"/>
      <c r="Z21" s="156"/>
    </row>
    <row r="22" spans="8:8">
      <c r="A22" s="154" t="s">
        <v>63</v>
      </c>
      <c r="B22" s="154"/>
      <c r="C22" s="154"/>
      <c r="D22" s="154"/>
      <c r="E22" s="154"/>
      <c r="F22" s="154"/>
      <c r="G22" s="156"/>
      <c r="H22" s="156"/>
      <c r="I22" s="156"/>
      <c r="J22" s="156"/>
      <c r="K22" s="156"/>
      <c r="L22" s="156"/>
      <c r="M22" s="156"/>
      <c r="N22" s="160">
        <v>20.0</v>
      </c>
      <c r="O22" s="165">
        <f>'DAILY REGESTER'!A23</f>
        <v>45889.0</v>
      </c>
      <c r="P22" s="166" t="s">
        <v>110</v>
      </c>
      <c r="Q22" s="167">
        <f>'DAILY REGESTER'!V23</f>
        <v>12.3</v>
      </c>
      <c r="R22" s="166">
        <v>30.0</v>
      </c>
      <c r="S22" s="163">
        <f t="shared" si="1"/>
        <v>369.0</v>
      </c>
      <c r="T22" s="156"/>
      <c r="U22" s="156"/>
      <c r="V22" s="156"/>
      <c r="W22" s="156"/>
      <c r="X22" s="156"/>
      <c r="Y22" s="156"/>
      <c r="Z22" s="156"/>
    </row>
    <row r="23" spans="8:8">
      <c r="A23" s="157" t="s">
        <v>47</v>
      </c>
      <c r="B23" s="157" t="s">
        <v>43</v>
      </c>
      <c r="C23" s="157" t="s">
        <v>65</v>
      </c>
      <c r="D23" s="157"/>
      <c r="E23" s="157" t="s">
        <v>45</v>
      </c>
      <c r="F23" s="157" t="s">
        <v>46</v>
      </c>
      <c r="G23" s="156"/>
      <c r="H23" s="156"/>
      <c r="I23" s="156"/>
      <c r="J23" s="156"/>
      <c r="K23" s="156"/>
      <c r="L23" s="156"/>
      <c r="M23" s="156"/>
      <c r="N23" s="160">
        <v>21.0</v>
      </c>
      <c r="O23" s="165">
        <f>'DAILY REGESTER'!A24</f>
        <v>45890.0</v>
      </c>
      <c r="P23" s="166" t="s">
        <v>114</v>
      </c>
      <c r="Q23" s="167">
        <f>'DAILY REGESTER'!V24</f>
        <v>10.8</v>
      </c>
      <c r="R23" s="166">
        <v>30.0</v>
      </c>
      <c r="S23" s="163">
        <f t="shared" si="1"/>
        <v>324.0</v>
      </c>
      <c r="T23" s="156"/>
      <c r="U23" s="186" t="s">
        <v>70</v>
      </c>
      <c r="V23" s="186"/>
      <c r="W23" s="186"/>
      <c r="X23" s="156"/>
      <c r="Y23" s="156"/>
      <c r="Z23" s="156"/>
    </row>
    <row r="24" spans="8:8">
      <c r="A24" s="160">
        <v>1.0</v>
      </c>
      <c r="B24" s="160" t="s">
        <v>64</v>
      </c>
      <c r="C24" s="161">
        <f>'DAILY REGESTER'!H35</f>
        <v>239.9</v>
      </c>
      <c r="D24" s="161"/>
      <c r="E24" s="162">
        <v>3.0</v>
      </c>
      <c r="F24" s="161">
        <f>C24*E24</f>
        <v>719.7</v>
      </c>
      <c r="G24" s="156"/>
      <c r="H24" s="156"/>
      <c r="I24" s="156"/>
      <c r="J24" s="156"/>
      <c r="K24" s="156"/>
      <c r="L24" s="156"/>
      <c r="M24" s="156"/>
      <c r="N24" s="160">
        <v>22.0</v>
      </c>
      <c r="O24" s="165">
        <f>'DAILY REGESTER'!A25</f>
        <v>45891.0</v>
      </c>
      <c r="P24" s="166" t="s">
        <v>115</v>
      </c>
      <c r="Q24" s="167">
        <f>'DAILY REGESTER'!V25</f>
        <v>10.100000000000001</v>
      </c>
      <c r="R24" s="166">
        <v>30.0</v>
      </c>
      <c r="S24" s="163">
        <f t="shared" si="1"/>
        <v>303.00000000000006</v>
      </c>
      <c r="T24" s="156"/>
      <c r="U24" s="187" t="s">
        <v>71</v>
      </c>
      <c r="V24" s="187"/>
      <c r="W24" s="188">
        <f>Sheet2!H10</f>
        <v>26496.0</v>
      </c>
      <c r="X24" s="156"/>
      <c r="Y24" s="156"/>
      <c r="Z24" s="156"/>
    </row>
    <row r="25" spans="8:8">
      <c r="A25" s="160">
        <v>2.0</v>
      </c>
      <c r="B25" s="160"/>
      <c r="C25" s="160"/>
      <c r="D25" s="160"/>
      <c r="E25" s="160"/>
      <c r="F25" s="161"/>
      <c r="G25" s="156"/>
      <c r="H25" s="156"/>
      <c r="I25" s="156"/>
      <c r="J25" s="156"/>
      <c r="K25" s="156"/>
      <c r="L25" s="156"/>
      <c r="M25" s="156"/>
      <c r="N25" s="160">
        <v>23.0</v>
      </c>
      <c r="O25" s="165">
        <f>'DAILY REGESTER'!A26</f>
        <v>45892.0</v>
      </c>
      <c r="P25" s="166" t="s">
        <v>109</v>
      </c>
      <c r="Q25" s="167">
        <f>'DAILY REGESTER'!V26</f>
        <v>10.100000000000001</v>
      </c>
      <c r="R25" s="166">
        <v>30.0</v>
      </c>
      <c r="S25" s="163">
        <f t="shared" si="1"/>
        <v>303.00000000000006</v>
      </c>
      <c r="T25" s="156"/>
      <c r="U25" s="189" t="s">
        <v>72</v>
      </c>
      <c r="V25" s="189"/>
      <c r="W25" s="188">
        <f>V16</f>
        <v>26496.0</v>
      </c>
      <c r="X25" s="156"/>
      <c r="Y25" s="156"/>
      <c r="Z25" s="156"/>
    </row>
    <row r="26" spans="8:8">
      <c r="A26" s="160">
        <v>3.0</v>
      </c>
      <c r="B26" s="160"/>
      <c r="C26" s="160"/>
      <c r="D26" s="160"/>
      <c r="E26" s="160"/>
      <c r="F26" s="161"/>
      <c r="G26" s="156"/>
      <c r="H26" s="156"/>
      <c r="I26" s="156"/>
      <c r="J26" s="156"/>
      <c r="K26" s="156"/>
      <c r="L26" s="156"/>
      <c r="M26" s="156"/>
      <c r="N26" s="160">
        <v>24.0</v>
      </c>
      <c r="O26" s="165">
        <f>'DAILY REGESTER'!A27</f>
        <v>45893.0</v>
      </c>
      <c r="P26" s="166"/>
      <c r="Q26" s="167">
        <f>'DAILY REGESTER'!V27</f>
        <v>0.0</v>
      </c>
      <c r="R26" s="166">
        <v>40.0</v>
      </c>
      <c r="S26" s="163">
        <f t="shared" si="1"/>
        <v>0.0</v>
      </c>
      <c r="T26" s="156"/>
      <c r="U26" s="190" t="s">
        <v>70</v>
      </c>
      <c r="V26" s="190"/>
      <c r="W26" s="191">
        <f>W24-W25</f>
        <v>0.0</v>
      </c>
      <c r="X26" s="156"/>
      <c r="Y26" s="156"/>
      <c r="Z26" s="156"/>
    </row>
    <row r="27" spans="8:8">
      <c r="A27" s="160">
        <v>4.0</v>
      </c>
      <c r="B27" s="192" t="s">
        <v>35</v>
      </c>
      <c r="C27" s="192"/>
      <c r="D27" s="192"/>
      <c r="E27" s="192"/>
      <c r="F27" s="169">
        <f>SUM(F24:F25)</f>
        <v>719.7</v>
      </c>
      <c r="G27" s="156"/>
      <c r="H27" s="156"/>
      <c r="I27" s="156"/>
      <c r="J27" s="156"/>
      <c r="K27" s="156"/>
      <c r="L27" s="156"/>
      <c r="M27" s="156"/>
      <c r="N27" s="160">
        <v>25.0</v>
      </c>
      <c r="O27" s="165">
        <f>'DAILY REGESTER'!A28</f>
        <v>45894.0</v>
      </c>
      <c r="P27" s="166"/>
      <c r="Q27" s="167">
        <f>'DAILY REGESTER'!V28</f>
        <v>0.0</v>
      </c>
      <c r="R27" s="166">
        <v>30.0</v>
      </c>
      <c r="S27" s="163">
        <f t="shared" si="1"/>
        <v>0.0</v>
      </c>
      <c r="T27" s="156"/>
      <c r="U27" s="193"/>
      <c r="V27" s="193"/>
      <c r="W27" s="156"/>
      <c r="X27" s="156"/>
      <c r="Y27" s="156"/>
      <c r="Z27" s="156"/>
    </row>
    <row r="28" spans="8:8">
      <c r="A28" s="154" t="s">
        <v>86</v>
      </c>
      <c r="B28" s="154"/>
      <c r="C28" s="154"/>
      <c r="D28" s="154"/>
      <c r="E28" s="154"/>
      <c r="F28" s="154"/>
      <c r="G28" s="156"/>
      <c r="H28" s="156"/>
      <c r="I28" s="156"/>
      <c r="J28" s="156"/>
      <c r="K28" s="156"/>
      <c r="L28" s="156"/>
      <c r="M28" s="156"/>
      <c r="N28" s="160">
        <v>26.0</v>
      </c>
      <c r="O28" s="165">
        <f>'DAILY REGESTER'!A29</f>
        <v>45895.0</v>
      </c>
      <c r="P28" s="166"/>
      <c r="Q28" s="167">
        <f>'DAILY REGESTER'!V29</f>
        <v>0.0</v>
      </c>
      <c r="R28" s="166">
        <v>30.0</v>
      </c>
      <c r="S28" s="163">
        <f t="shared" si="1"/>
        <v>0.0</v>
      </c>
      <c r="T28" s="156"/>
      <c r="U28" s="194" t="s">
        <v>74</v>
      </c>
      <c r="V28" s="194"/>
      <c r="W28" s="194"/>
      <c r="X28" s="195"/>
      <c r="Y28" s="156"/>
      <c r="Z28" s="156"/>
    </row>
    <row r="29" spans="8:8">
      <c r="A29" s="157" t="s">
        <v>47</v>
      </c>
      <c r="B29" s="157" t="s">
        <v>43</v>
      </c>
      <c r="C29" s="157" t="s">
        <v>65</v>
      </c>
      <c r="D29" s="157"/>
      <c r="E29" s="157" t="s">
        <v>45</v>
      </c>
      <c r="F29" s="157" t="s">
        <v>46</v>
      </c>
      <c r="G29" s="156"/>
      <c r="H29" s="156"/>
      <c r="I29" s="156"/>
      <c r="J29" s="156"/>
      <c r="K29" s="156"/>
      <c r="L29" s="156"/>
      <c r="M29" s="156"/>
      <c r="N29" s="160">
        <v>27.0</v>
      </c>
      <c r="O29" s="165">
        <f>'DAILY REGESTER'!A30</f>
        <v>45896.0</v>
      </c>
      <c r="P29" s="166" t="s">
        <v>112</v>
      </c>
      <c r="Q29" s="167">
        <f>'DAILY REGESTER'!V30</f>
        <v>6.5</v>
      </c>
      <c r="R29" s="166">
        <v>40.0</v>
      </c>
      <c r="S29" s="163">
        <f t="shared" si="1"/>
        <v>260.0</v>
      </c>
      <c r="T29" s="156"/>
      <c r="U29" s="196" t="s">
        <v>75</v>
      </c>
      <c r="V29" s="197">
        <f>F14</f>
        <v>15139.0</v>
      </c>
      <c r="W29" s="197"/>
      <c r="X29" s="195"/>
      <c r="Y29" s="156"/>
      <c r="Z29" s="156"/>
    </row>
    <row r="30" spans="8:8">
      <c r="A30" s="160">
        <v>1.0</v>
      </c>
      <c r="B30" s="160" t="s">
        <v>87</v>
      </c>
      <c r="C30" s="169">
        <f>MIN('DATA ENTRY'!G17*10/1000,'ASTMITED BILL'!W21/'ASTMITED BILL'!E30)</f>
        <v>29.46</v>
      </c>
      <c r="D30" s="161"/>
      <c r="E30" s="162">
        <v>30.0</v>
      </c>
      <c r="F30" s="161">
        <f>(C30*E30)</f>
        <v>883.8000000000001</v>
      </c>
      <c r="G30" s="156"/>
      <c r="H30" s="156"/>
      <c r="I30" s="156"/>
      <c r="J30" s="156"/>
      <c r="K30" s="156"/>
      <c r="L30" s="156"/>
      <c r="M30" s="156"/>
      <c r="N30" s="160">
        <v>28.0</v>
      </c>
      <c r="O30" s="165">
        <f>'DAILY REGESTER'!A31</f>
        <v>45897.0</v>
      </c>
      <c r="P30" s="166" t="s">
        <v>116</v>
      </c>
      <c r="Q30" s="167">
        <f>'DAILY REGESTER'!V31</f>
        <v>10.5</v>
      </c>
      <c r="R30" s="166">
        <v>30.0</v>
      </c>
      <c r="S30" s="163">
        <f t="shared" si="1"/>
        <v>315.0</v>
      </c>
      <c r="T30" s="156"/>
      <c r="U30" s="196" t="s">
        <v>66</v>
      </c>
      <c r="V30" s="197">
        <f>Z8</f>
        <v>1598.5</v>
      </c>
      <c r="W30" s="197"/>
      <c r="X30" s="195"/>
      <c r="Y30" s="156"/>
      <c r="Z30" s="156"/>
    </row>
    <row r="31" spans="8:8">
      <c r="A31" s="160">
        <v>2.0</v>
      </c>
      <c r="B31" s="160" t="s">
        <v>88</v>
      </c>
      <c r="C31" s="161">
        <f>MIN('DATA ENTRY'!G17*2/10,'ASTMITED BILL'!W21-'ASTMITED BILL'!F30)/'ASTMITED BILL'!E31</f>
        <v>1.094999999999992</v>
      </c>
      <c r="D31" s="161"/>
      <c r="E31" s="162">
        <v>100.0</v>
      </c>
      <c r="F31" s="161">
        <f>(C31*E31)</f>
        <v>109.4999999999992</v>
      </c>
      <c r="G31" s="156"/>
      <c r="H31" s="156"/>
      <c r="I31" s="156"/>
      <c r="J31" s="156"/>
      <c r="K31" s="156"/>
      <c r="L31" s="156"/>
      <c r="M31" s="156"/>
      <c r="N31" s="160">
        <v>29.0</v>
      </c>
      <c r="O31" s="165">
        <f>'DAILY REGESTER'!A32</f>
        <v>45898.0</v>
      </c>
      <c r="P31" s="166" t="s">
        <v>110</v>
      </c>
      <c r="Q31" s="167">
        <f>'DAILY REGESTER'!V32</f>
        <v>10.4</v>
      </c>
      <c r="R31" s="166">
        <v>30.0</v>
      </c>
      <c r="S31" s="163">
        <f t="shared" si="1"/>
        <v>312.0</v>
      </c>
      <c r="T31" s="156"/>
      <c r="U31" s="196" t="s">
        <v>67</v>
      </c>
      <c r="V31" s="197">
        <f>S34</f>
        <v>6261.5</v>
      </c>
      <c r="W31" s="197"/>
      <c r="X31" s="195"/>
      <c r="Y31" s="156"/>
      <c r="Z31" s="156"/>
    </row>
    <row r="32" spans="8:8">
      <c r="A32" s="160">
        <v>3.0</v>
      </c>
      <c r="B32" s="160"/>
      <c r="C32" s="160"/>
      <c r="D32" s="160"/>
      <c r="E32" s="160"/>
      <c r="F32" s="161"/>
      <c r="G32" s="156"/>
      <c r="H32" s="156"/>
      <c r="I32" s="156"/>
      <c r="J32" s="156"/>
      <c r="K32" s="156"/>
      <c r="L32" s="156"/>
      <c r="M32" s="156"/>
      <c r="N32" s="160">
        <v>30.0</v>
      </c>
      <c r="O32" s="165">
        <f>'DAILY REGESTER'!A33</f>
        <v>45899.0</v>
      </c>
      <c r="P32" s="166"/>
      <c r="Q32" s="167">
        <f>'DAILY REGESTER'!V33</f>
        <v>0.0</v>
      </c>
      <c r="R32" s="166">
        <v>30.0</v>
      </c>
      <c r="S32" s="163">
        <f t="shared" si="1"/>
        <v>0.0</v>
      </c>
      <c r="T32" s="156"/>
      <c r="U32" s="196" t="s">
        <v>68</v>
      </c>
      <c r="V32" s="197">
        <f>F20</f>
        <v>1784.0</v>
      </c>
      <c r="W32" s="197"/>
      <c r="X32" s="195"/>
      <c r="Y32" s="156"/>
      <c r="Z32" s="156"/>
    </row>
    <row r="33" spans="8:8">
      <c r="A33" s="160">
        <v>4.0</v>
      </c>
      <c r="B33" s="192" t="s">
        <v>35</v>
      </c>
      <c r="C33" s="192"/>
      <c r="D33" s="192"/>
      <c r="E33" s="192"/>
      <c r="F33" s="169">
        <f>SUM(F30:F31)</f>
        <v>993.2999999999993</v>
      </c>
      <c r="G33" s="156"/>
      <c r="H33" s="156"/>
      <c r="I33" s="156"/>
      <c r="J33" s="156"/>
      <c r="K33" s="156"/>
      <c r="L33" s="156"/>
      <c r="M33" s="156"/>
      <c r="N33" s="160">
        <v>31.0</v>
      </c>
      <c r="O33" s="165">
        <f>'DAILY REGESTER'!A34</f>
        <v>45900.0</v>
      </c>
      <c r="P33" s="166"/>
      <c r="Q33" s="167">
        <f>'DAILY REGESTER'!V34</f>
        <v>0.0</v>
      </c>
      <c r="R33" s="166">
        <v>30.0</v>
      </c>
      <c r="S33" s="163">
        <f t="shared" si="1"/>
        <v>0.0</v>
      </c>
      <c r="T33" s="156"/>
      <c r="U33" s="196" t="s">
        <v>69</v>
      </c>
      <c r="V33" s="197">
        <f>F27</f>
        <v>719.7</v>
      </c>
      <c r="W33" s="197"/>
      <c r="X33" s="198"/>
      <c r="Y33" s="156"/>
      <c r="Z33" s="156"/>
    </row>
    <row r="34" spans="8:8" ht="26.25" customHeight="1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7">
        <v>32.0</v>
      </c>
      <c r="O34" s="199" t="str">
        <f>'DAILY REGESTER'!A35</f>
        <v>कुल योग </v>
      </c>
      <c r="P34" s="157"/>
      <c r="Q34" s="200">
        <f>'DAILY REGESTER'!V35</f>
        <v>195.4</v>
      </c>
      <c r="R34" s="157"/>
      <c r="S34" s="201">
        <f>SUM(S3:S33)</f>
        <v>6261.5</v>
      </c>
      <c r="T34" s="156"/>
      <c r="U34" s="196" t="s">
        <v>35</v>
      </c>
      <c r="V34" s="197">
        <f>SUM(V29:W33)</f>
        <v>25502.7</v>
      </c>
      <c r="W34" s="197"/>
      <c r="X34" s="195"/>
      <c r="Y34" s="156"/>
      <c r="Z34" s="156"/>
    </row>
  </sheetData>
  <sheetProtection algorithmName="SHA-512" hashValue="rf5cIYQLlkkV7ZXIRvt7JnbjB/7s23TEg7PUaJkSjiwoujZbUBO6eFXDbIx6FPlTpOYETnncrnayPfAq5z6J5A==" saltValue="RfbvS5CYlfZGgbPlBkPr0A==" spinCount="100000" sheet="1" objects="1" scenarios="1"/>
  <mergeCells count="33">
    <mergeCell ref="V34:W34"/>
    <mergeCell ref="A22:F22"/>
    <mergeCell ref="B20:E20"/>
    <mergeCell ref="A28:F28"/>
    <mergeCell ref="B33:E33"/>
    <mergeCell ref="U1:Z1"/>
    <mergeCell ref="V15:W15"/>
    <mergeCell ref="A1:F1"/>
    <mergeCell ref="V8:Y8"/>
    <mergeCell ref="U21:V21"/>
    <mergeCell ref="A15:F15"/>
    <mergeCell ref="V30:W30"/>
    <mergeCell ref="V11:W11"/>
    <mergeCell ref="U18:W18"/>
    <mergeCell ref="U9:W9"/>
    <mergeCell ref="V29:W29"/>
    <mergeCell ref="N1:S1"/>
    <mergeCell ref="V10:W10"/>
    <mergeCell ref="U23:W23"/>
    <mergeCell ref="V12:W12"/>
    <mergeCell ref="U25:V25"/>
    <mergeCell ref="U19:V19"/>
    <mergeCell ref="U20:V20"/>
    <mergeCell ref="U28:W28"/>
    <mergeCell ref="V31:W31"/>
    <mergeCell ref="V32:W32"/>
    <mergeCell ref="V33:W33"/>
    <mergeCell ref="U26:V26"/>
    <mergeCell ref="V13:W13"/>
    <mergeCell ref="V16:W16"/>
    <mergeCell ref="V14:W14"/>
    <mergeCell ref="U24:V24"/>
    <mergeCell ref="B27:E27"/>
  </mergeCells>
  <conditionalFormatting sqref="U26:W26">
    <cfRule type="expression" priority="2" dxfId="2">
      <formula>$W$21&lt;0</formula>
    </cfRule>
    <cfRule type="expression" priority="1" dxfId="3">
      <formula>$W$21&gt;0</formula>
    </cfRule>
  </conditionalFormatting>
  <conditionalFormatting sqref="U21:W21">
    <cfRule type="expression" priority="3" dxfId="4">
      <formula>$W$21&gt;0</formula>
    </cfRule>
    <cfRule type="expression" priority="4" dxfId="5">
      <formula>$W$21&lt;0</formula>
    </cfRule>
  </conditionalFormatting>
  <printOptions horizontalCentered="1"/>
  <pageMargins left="0.25" right="0.25" top="0.75" bottom="0.75" header="0.3" footer="0.3"/>
  <pageSetup paperSize="9" scale="110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AD38"/>
  <sheetViews>
    <sheetView tabSelected="1" workbookViewId="0" zoomScale="41">
      <selection activeCell="Y5" sqref="Y5"/>
    </sheetView>
  </sheetViews>
  <sheetFormatPr defaultRowHeight="18.75" defaultColWidth="10"/>
  <cols>
    <col min="1" max="1" customWidth="1" width="6.140625" style="153"/>
    <col min="2" max="2" customWidth="1" width="18.0" style="153"/>
    <col min="3" max="3" customWidth="1" width="10.5703125" style="153"/>
    <col min="4" max="4" customWidth="1" width="8.0" style="153"/>
    <col min="5" max="5" customWidth="1" width="8.855469" style="153"/>
    <col min="6" max="6" customWidth="1" width="12.7109375" style="153"/>
    <col min="7" max="7" customWidth="1" width="10.285156" style="153"/>
    <col min="8" max="8" customWidth="1" width="3.4257812" style="153"/>
    <col min="9" max="9" hidden="1" customWidth="1" width="7.4257812" style="153"/>
    <col min="10" max="10" hidden="1" customWidth="1" width="16.285156" style="153"/>
    <col min="11" max="11" hidden="1" customWidth="1" width="11.855469" style="153"/>
    <col min="12" max="12" hidden="1" customWidth="1" width="0.0" style="153"/>
    <col min="13" max="13" customWidth="1" width="0.7109375" style="153"/>
    <col min="14" max="14" customWidth="1" width="1.8554688" style="153"/>
    <col min="15" max="15" customWidth="1" width="6.5703125" style="153"/>
    <col min="16" max="16" customWidth="1" width="14.140625" style="153"/>
    <col min="17" max="17" customWidth="1" width="25.140625" style="153"/>
    <col min="18" max="18" customWidth="1" width="13.855469" style="153"/>
    <col min="19" max="19" customWidth="1" width="10.7109375" style="153"/>
    <col min="20" max="22" customWidth="1" width="14.285156" style="153"/>
    <col min="23" max="23" customWidth="1" width="3.2851562" style="153"/>
    <col min="24" max="24" customWidth="0" width="9.140625" style="153"/>
    <col min="25" max="25" customWidth="1" width="19.710938" style="153"/>
    <col min="26" max="26" customWidth="1" width="19.140625" style="153"/>
    <col min="27" max="27" customWidth="1" width="12.0" style="153"/>
    <col min="28" max="28" customWidth="1" width="11.0" style="153"/>
    <col min="29" max="29" customWidth="1" width="13.7109375" style="153"/>
    <col min="30" max="16384" customWidth="0" width="9.140625" style="153"/>
  </cols>
  <sheetData>
    <row r="1" spans="8:8" s="156" ht="18.75" customFormat="1"/>
    <row r="2" spans="8:8" s="156" ht="18.75" customFormat="1">
      <c r="O2" s="202"/>
      <c r="P2" s="202"/>
      <c r="Q2" s="202"/>
      <c r="R2" s="202"/>
      <c r="S2" s="202"/>
      <c r="T2" s="202"/>
      <c r="U2" s="202"/>
      <c r="V2" s="202"/>
    </row>
    <row r="3" spans="8:8">
      <c r="A3" s="203" t="s">
        <v>42</v>
      </c>
      <c r="B3" s="204"/>
      <c r="C3" s="204"/>
      <c r="D3" s="204"/>
      <c r="E3" s="204"/>
      <c r="F3" s="204"/>
      <c r="G3" s="205"/>
      <c r="H3" s="155"/>
      <c r="I3" s="156"/>
      <c r="J3" s="156"/>
      <c r="K3" s="156"/>
      <c r="L3" s="156"/>
      <c r="M3" s="156"/>
      <c r="N3" s="156"/>
      <c r="O3" s="154" t="s">
        <v>61</v>
      </c>
      <c r="P3" s="154"/>
      <c r="Q3" s="154"/>
      <c r="R3" s="154"/>
      <c r="S3" s="154"/>
      <c r="T3" s="154"/>
      <c r="U3" s="154"/>
      <c r="V3" s="154"/>
      <c r="W3" s="156"/>
      <c r="X3" s="154" t="s">
        <v>62</v>
      </c>
      <c r="Y3" s="154"/>
      <c r="Z3" s="154"/>
      <c r="AA3" s="154"/>
      <c r="AB3" s="154"/>
      <c r="AC3" s="154"/>
    </row>
    <row r="4" spans="8:8" ht="33.0">
      <c r="A4" s="206" t="s">
        <v>47</v>
      </c>
      <c r="B4" s="206" t="s">
        <v>43</v>
      </c>
      <c r="C4" s="206" t="s">
        <v>44</v>
      </c>
      <c r="D4" s="206" t="s">
        <v>45</v>
      </c>
      <c r="E4" s="206" t="s">
        <v>46</v>
      </c>
      <c r="F4" s="207" t="s">
        <v>103</v>
      </c>
      <c r="G4" s="208" t="s">
        <v>104</v>
      </c>
      <c r="H4" s="159"/>
      <c r="I4" s="156"/>
      <c r="J4" s="156"/>
      <c r="K4" s="156"/>
      <c r="L4" s="156"/>
      <c r="M4" s="156"/>
      <c r="N4" s="156"/>
      <c r="O4" s="209" t="s">
        <v>90</v>
      </c>
      <c r="P4" s="209" t="s">
        <v>60</v>
      </c>
      <c r="Q4" s="209" t="s">
        <v>43</v>
      </c>
      <c r="R4" s="209" t="s">
        <v>44</v>
      </c>
      <c r="S4" s="209" t="s">
        <v>45</v>
      </c>
      <c r="T4" s="209" t="s">
        <v>46</v>
      </c>
      <c r="U4" s="210" t="s">
        <v>103</v>
      </c>
      <c r="V4" s="211" t="s">
        <v>104</v>
      </c>
      <c r="W4" s="156"/>
      <c r="X4" s="160" t="s">
        <v>47</v>
      </c>
      <c r="Y4" s="160" t="s">
        <v>60</v>
      </c>
      <c r="Z4" s="160" t="s">
        <v>43</v>
      </c>
      <c r="AA4" s="160" t="s">
        <v>44</v>
      </c>
      <c r="AB4" s="160" t="s">
        <v>45</v>
      </c>
      <c r="AC4" s="160" t="s">
        <v>46</v>
      </c>
    </row>
    <row r="5" spans="8:8">
      <c r="A5" s="160">
        <v>1.0</v>
      </c>
      <c r="B5" s="160" t="s">
        <v>48</v>
      </c>
      <c r="C5" s="161">
        <f>'DAILY REGESTER'!R35*2/5</f>
        <v>31.263999999999992</v>
      </c>
      <c r="D5" s="162">
        <v>100.0</v>
      </c>
      <c r="E5" s="161">
        <f t="shared" si="0" ref="E5:E15">ROUND(D5*C5,0)</f>
        <v>3126.0</v>
      </c>
      <c r="F5" s="161">
        <f t="shared" si="1" ref="F5:F16">C5</f>
        <v>31.263999999999992</v>
      </c>
      <c r="G5" s="161">
        <f t="shared" si="2" ref="G5:G16">C5-F5</f>
        <v>0.0</v>
      </c>
      <c r="H5" s="159"/>
      <c r="I5" s="156"/>
      <c r="J5" s="156"/>
      <c r="K5" s="156"/>
      <c r="L5" s="156"/>
      <c r="M5" s="156"/>
      <c r="N5" s="156"/>
      <c r="O5" s="209">
        <v>1.0</v>
      </c>
      <c r="P5" s="165">
        <f>P7</f>
        <v>45870.0</v>
      </c>
      <c r="Q5" s="209" t="s">
        <v>87</v>
      </c>
      <c r="R5" s="209">
        <v>15.0</v>
      </c>
      <c r="S5" s="209">
        <v>30.0</v>
      </c>
      <c r="T5" s="209">
        <v>300.0</v>
      </c>
      <c r="U5" s="210">
        <v>15.0</v>
      </c>
      <c r="V5" s="211">
        <v>0.0</v>
      </c>
      <c r="W5" s="156"/>
      <c r="X5" s="160"/>
      <c r="Y5" s="160"/>
      <c r="Z5" s="160"/>
      <c r="AA5" s="160"/>
      <c r="AB5" s="160"/>
      <c r="AC5" s="160"/>
    </row>
    <row r="6" spans="8:8">
      <c r="A6" s="160">
        <v>2.0</v>
      </c>
      <c r="B6" s="160" t="s">
        <v>49</v>
      </c>
      <c r="C6" s="161">
        <f>'DAILY REGESTER'!R35*2/5</f>
        <v>31.263999999999992</v>
      </c>
      <c r="D6" s="162">
        <v>80.0</v>
      </c>
      <c r="E6" s="161">
        <f t="shared" si="0"/>
        <v>2501.0</v>
      </c>
      <c r="F6" s="161">
        <f t="shared" si="1"/>
        <v>31.263999999999992</v>
      </c>
      <c r="G6" s="161">
        <f t="shared" si="2"/>
        <v>0.0</v>
      </c>
      <c r="H6" s="159"/>
      <c r="I6" s="156"/>
      <c r="J6" s="156"/>
      <c r="K6" s="156"/>
      <c r="L6" s="156"/>
      <c r="M6" s="156"/>
      <c r="N6" s="156"/>
      <c r="O6" s="209"/>
      <c r="P6" s="209"/>
      <c r="Q6" s="209"/>
      <c r="R6" s="209"/>
      <c r="S6" s="209"/>
      <c r="T6" s="209"/>
      <c r="U6" s="210"/>
      <c r="V6" s="211"/>
      <c r="W6" s="156"/>
      <c r="X6" s="160"/>
      <c r="Y6" s="160"/>
      <c r="Z6" s="160"/>
      <c r="AA6" s="160"/>
      <c r="AB6" s="160"/>
      <c r="AC6" s="160"/>
    </row>
    <row r="7" spans="8:8">
      <c r="A7" s="160">
        <v>3.0</v>
      </c>
      <c r="B7" s="160" t="s">
        <v>50</v>
      </c>
      <c r="C7" s="161">
        <f>'DAILY REGESTER'!R35*1/5</f>
        <v>15.631999999999996</v>
      </c>
      <c r="D7" s="162">
        <v>110.0</v>
      </c>
      <c r="E7" s="161">
        <f t="shared" si="0"/>
        <v>1720.0</v>
      </c>
      <c r="F7" s="161">
        <f t="shared" si="1"/>
        <v>15.631999999999996</v>
      </c>
      <c r="G7" s="161">
        <f t="shared" si="2"/>
        <v>0.0</v>
      </c>
      <c r="H7" s="164"/>
      <c r="I7" s="156"/>
      <c r="J7" s="156"/>
      <c r="K7" s="156"/>
      <c r="L7" s="156"/>
      <c r="M7" s="156"/>
      <c r="N7" s="156"/>
      <c r="O7" s="160">
        <v>1.0</v>
      </c>
      <c r="P7" s="165">
        <f>'DAILY REGESTER'!A4</f>
        <v>45870.0</v>
      </c>
      <c r="Q7" s="166" t="str">
        <f>'ASTMITED BILL'!P3</f>
        <v>yksdh VekVj</v>
      </c>
      <c r="R7" s="167">
        <f>'ASTMITED BILL'!Q3</f>
        <v>10.600000000000001</v>
      </c>
      <c r="S7" s="162">
        <f>'ASTMITED BILL'!R3</f>
        <v>30.0</v>
      </c>
      <c r="T7" s="162">
        <f>'ASTMITED BILL'!S3</f>
        <v>318.00000000000006</v>
      </c>
      <c r="U7" s="167">
        <f>R7</f>
        <v>10.600000000000001</v>
      </c>
      <c r="V7" s="167">
        <f>R7-U7</f>
        <v>0.0</v>
      </c>
      <c r="W7" s="156"/>
      <c r="X7" s="160">
        <v>1.0</v>
      </c>
      <c r="Y7" s="165">
        <f t="array" ref="Y7:Y10">_xlfn._XLWS.FILTER('DAILY REGESTER'!A4:A34,TEXT('DAILY REGESTER'!A4:A34,"dddd")="Tuesday")</f>
        <v>45874.0</v>
      </c>
      <c r="Z7" s="162"/>
      <c r="AA7" s="161">
        <f>IF(Y7="","",VLOOKUP(Y7,'DAILY REGESTER'!$A$4:$D$34,4,FALSE)*0.1)</f>
        <v>16.7</v>
      </c>
      <c r="AB7" s="162">
        <v>25.0</v>
      </c>
      <c r="AC7" s="161">
        <f>AA7*AB7</f>
        <v>417.5</v>
      </c>
    </row>
    <row r="8" spans="8:8">
      <c r="A8" s="160">
        <v>4.0</v>
      </c>
      <c r="B8" s="160" t="s">
        <v>51</v>
      </c>
      <c r="C8" s="161">
        <f>'DAILY REGESTER'!B35*5/1000+'DAILY REGESTER'!C35*7.5/1000</f>
        <v>19.54</v>
      </c>
      <c r="D8" s="162">
        <v>160.0</v>
      </c>
      <c r="E8" s="161">
        <f t="shared" si="0"/>
        <v>3126.0</v>
      </c>
      <c r="F8" s="161">
        <f t="shared" si="1"/>
        <v>19.54</v>
      </c>
      <c r="G8" s="161">
        <f t="shared" si="2"/>
        <v>0.0</v>
      </c>
      <c r="H8" s="164"/>
      <c r="I8" s="156"/>
      <c r="J8" s="156"/>
      <c r="K8" s="156"/>
      <c r="L8" s="156"/>
      <c r="M8" s="156"/>
      <c r="N8" s="156"/>
      <c r="O8" s="160">
        <v>2.0</v>
      </c>
      <c r="P8" s="165">
        <f>'DAILY REGESTER'!A5</f>
        <v>45871.0</v>
      </c>
      <c r="Q8" s="166" t="str">
        <f>'ASTMITED BILL'!P4</f>
        <v>CkSaxu] VekVj</v>
      </c>
      <c r="R8" s="167">
        <f>'ASTMITED BILL'!Q4</f>
        <v>10.4</v>
      </c>
      <c r="S8" s="162">
        <f>'ASTMITED BILL'!R4</f>
        <v>35.0</v>
      </c>
      <c r="T8" s="162">
        <f>'ASTMITED BILL'!S4</f>
        <v>364.0</v>
      </c>
      <c r="U8" s="167">
        <f t="shared" si="3" ref="U8:U37">R8</f>
        <v>10.4</v>
      </c>
      <c r="V8" s="167">
        <f t="shared" si="4" ref="V8:V37">R8-U8</f>
        <v>0.0</v>
      </c>
      <c r="W8" s="156"/>
      <c r="X8" s="160">
        <v>2.0</v>
      </c>
      <c r="Y8" s="165">
        <v>45881.0</v>
      </c>
      <c r="Z8" s="162"/>
      <c r="AA8" s="161">
        <f>IF(Y8="","",VLOOKUP(Y8,'DAILY REGESTER'!$A$4:$D$34,4,FALSE)*0.1)</f>
        <v>15.5</v>
      </c>
      <c r="AB8" s="162">
        <v>30.0</v>
      </c>
      <c r="AC8" s="161">
        <f t="shared" si="5" ref="AC8:AC11">AA8*AB8</f>
        <v>465.0</v>
      </c>
    </row>
    <row r="9" spans="8:8">
      <c r="A9" s="160">
        <v>5.0</v>
      </c>
      <c r="B9" s="160" t="s">
        <v>52</v>
      </c>
      <c r="C9" s="161">
        <f>Sheet2!G11*2/1000</f>
        <v>5.892</v>
      </c>
      <c r="D9" s="162">
        <v>300.0</v>
      </c>
      <c r="E9" s="161">
        <f t="shared" si="0"/>
        <v>1768.0</v>
      </c>
      <c r="F9" s="161">
        <f t="shared" si="1"/>
        <v>5.892</v>
      </c>
      <c r="G9" s="161">
        <f t="shared" si="2"/>
        <v>0.0</v>
      </c>
      <c r="H9" s="164"/>
      <c r="I9" s="156"/>
      <c r="J9" s="156"/>
      <c r="K9" s="156"/>
      <c r="L9" s="156"/>
      <c r="M9" s="156"/>
      <c r="N9" s="156"/>
      <c r="O9" s="160">
        <v>3.0</v>
      </c>
      <c r="P9" s="165">
        <f>'DAILY REGESTER'!A6</f>
        <v>45872.0</v>
      </c>
      <c r="Q9" s="166">
        <f>'ASTMITED BILL'!P5</f>
        <v>0.0</v>
      </c>
      <c r="R9" s="167">
        <f>'ASTMITED BILL'!Q5</f>
        <v>0.0</v>
      </c>
      <c r="S9" s="162">
        <f>'ASTMITED BILL'!R5</f>
        <v>0.0</v>
      </c>
      <c r="T9" s="162">
        <f>'ASTMITED BILL'!S5</f>
        <v>0.0</v>
      </c>
      <c r="U9" s="167">
        <f t="shared" si="3"/>
        <v>0.0</v>
      </c>
      <c r="V9" s="167">
        <f t="shared" si="4"/>
        <v>0.0</v>
      </c>
      <c r="W9" s="156"/>
      <c r="X9" s="160">
        <v>3.0</v>
      </c>
      <c r="Y9" s="165">
        <v>45888.0</v>
      </c>
      <c r="Z9" s="162"/>
      <c r="AA9" s="161">
        <f>IF(Y9="","",VLOOKUP(Y9,'DAILY REGESTER'!$A$4:$D$34,4,FALSE)*0.1)</f>
        <v>18.3</v>
      </c>
      <c r="AB9" s="162">
        <v>30.0</v>
      </c>
      <c r="AC9" s="161">
        <f t="shared" si="5"/>
        <v>549.0</v>
      </c>
    </row>
    <row r="10" spans="8:8">
      <c r="A10" s="160">
        <v>6.0</v>
      </c>
      <c r="B10" s="160" t="s">
        <v>53</v>
      </c>
      <c r="C10" s="161">
        <f>Sheet2!G11*2/1000</f>
        <v>5.892</v>
      </c>
      <c r="D10" s="162">
        <v>280.0</v>
      </c>
      <c r="E10" s="161">
        <f t="shared" si="0"/>
        <v>1650.0</v>
      </c>
      <c r="F10" s="161">
        <f t="shared" si="1"/>
        <v>5.892</v>
      </c>
      <c r="G10" s="161">
        <f t="shared" si="2"/>
        <v>0.0</v>
      </c>
      <c r="H10" s="164"/>
      <c r="I10" s="156"/>
      <c r="J10" s="156"/>
      <c r="K10" s="156"/>
      <c r="L10" s="156"/>
      <c r="M10" s="156"/>
      <c r="N10" s="156"/>
      <c r="O10" s="160">
        <v>4.0</v>
      </c>
      <c r="P10" s="165">
        <f>'DAILY REGESTER'!A7</f>
        <v>45873.0</v>
      </c>
      <c r="Q10" s="166" t="str">
        <f>'ASTMITED BILL'!P6</f>
        <v>rqjbZ] VekVj</v>
      </c>
      <c r="R10" s="167">
        <f>'ASTMITED BILL'!Q6</f>
        <v>9.5</v>
      </c>
      <c r="S10" s="162">
        <f>'ASTMITED BILL'!R6</f>
        <v>40.0</v>
      </c>
      <c r="T10" s="162">
        <f>'ASTMITED BILL'!S6</f>
        <v>380.0</v>
      </c>
      <c r="U10" s="167">
        <f t="shared" si="3"/>
        <v>9.5</v>
      </c>
      <c r="V10" s="167">
        <f t="shared" si="4"/>
        <v>0.0</v>
      </c>
      <c r="W10" s="156"/>
      <c r="X10" s="160">
        <v>4.0</v>
      </c>
      <c r="Y10" s="165">
        <v>45895.0</v>
      </c>
      <c r="Z10" s="162"/>
      <c r="AA10" s="161">
        <f>IF(Y10="","",VLOOKUP(Y10,'DAILY REGESTER'!$A$4:$D$34,4,FALSE)*0.1)</f>
        <v>0.0</v>
      </c>
      <c r="AB10" s="162">
        <v>0.0</v>
      </c>
      <c r="AC10" s="161">
        <f t="shared" si="5"/>
        <v>0.0</v>
      </c>
    </row>
    <row r="11" spans="8:8">
      <c r="A11" s="160">
        <v>7.0</v>
      </c>
      <c r="B11" s="160" t="s">
        <v>54</v>
      </c>
      <c r="C11" s="161">
        <f>Sheet2!G11*1.3/1000</f>
        <v>3.8298</v>
      </c>
      <c r="D11" s="162">
        <v>250.0</v>
      </c>
      <c r="E11" s="161">
        <f t="shared" si="0"/>
        <v>957.0</v>
      </c>
      <c r="F11" s="161">
        <f t="shared" si="1"/>
        <v>3.8298</v>
      </c>
      <c r="G11" s="161">
        <f t="shared" si="2"/>
        <v>0.0</v>
      </c>
      <c r="H11" s="164"/>
      <c r="I11" s="156"/>
      <c r="J11" s="156"/>
      <c r="K11" s="156"/>
      <c r="L11" s="156"/>
      <c r="M11" s="156"/>
      <c r="N11" s="156"/>
      <c r="O11" s="160">
        <v>5.0</v>
      </c>
      <c r="P11" s="165">
        <f>'DAILY REGESTER'!A8</f>
        <v>45874.0</v>
      </c>
      <c r="Q11" s="166" t="str">
        <f>'ASTMITED BILL'!P7</f>
        <v>ikyd] VekVj</v>
      </c>
      <c r="R11" s="167">
        <f>'ASTMITED BILL'!Q7</f>
        <v>11.100000000000001</v>
      </c>
      <c r="S11" s="162">
        <f>'ASTMITED BILL'!R7</f>
        <v>35.0</v>
      </c>
      <c r="T11" s="212">
        <f>'ASTMITED BILL'!S7</f>
        <v>388.50000000000006</v>
      </c>
      <c r="U11" s="167">
        <f t="shared" si="3"/>
        <v>11.100000000000001</v>
      </c>
      <c r="V11" s="167">
        <f t="shared" si="4"/>
        <v>0.0</v>
      </c>
      <c r="W11" s="156"/>
      <c r="X11" s="160">
        <v>5.0</v>
      </c>
      <c r="Y11" s="168"/>
      <c r="Z11" s="161"/>
      <c r="AA11" s="161"/>
      <c r="AB11" s="162">
        <v>0.0</v>
      </c>
      <c r="AC11" s="169">
        <f t="shared" si="5"/>
        <v>0.0</v>
      </c>
    </row>
    <row r="12" spans="8:8">
      <c r="A12" s="160">
        <v>8.0</v>
      </c>
      <c r="B12" s="160" t="s">
        <v>55</v>
      </c>
      <c r="C12" s="161">
        <f>Sheet2!G11*0.25/1000</f>
        <v>0.7365</v>
      </c>
      <c r="D12" s="162">
        <v>350.0</v>
      </c>
      <c r="E12" s="161">
        <f t="shared" si="0"/>
        <v>258.0</v>
      </c>
      <c r="F12" s="161">
        <f t="shared" si="1"/>
        <v>0.7365</v>
      </c>
      <c r="G12" s="161">
        <f t="shared" si="2"/>
        <v>0.0</v>
      </c>
      <c r="H12" s="164"/>
      <c r="I12" s="156"/>
      <c r="J12" s="156"/>
      <c r="K12" s="156"/>
      <c r="L12" s="156"/>
      <c r="M12" s="156"/>
      <c r="N12" s="156"/>
      <c r="O12" s="160">
        <v>6.0</v>
      </c>
      <c r="P12" s="165">
        <f>'DAILY REGESTER'!A9</f>
        <v>45875.0</v>
      </c>
      <c r="Q12" s="166">
        <f>'ASTMITED BILL'!P8</f>
        <v>0.0</v>
      </c>
      <c r="R12" s="167">
        <f>'ASTMITED BILL'!Q8</f>
        <v>0.0</v>
      </c>
      <c r="S12" s="162">
        <f>'ASTMITED BILL'!R8</f>
        <v>0.0</v>
      </c>
      <c r="T12" s="162">
        <f>'ASTMITED BILL'!S8</f>
        <v>0.0</v>
      </c>
      <c r="U12" s="167">
        <f t="shared" si="3"/>
        <v>0.0</v>
      </c>
      <c r="V12" s="167">
        <f t="shared" si="4"/>
        <v>0.0</v>
      </c>
      <c r="W12" s="156"/>
      <c r="X12" s="160">
        <v>6.0</v>
      </c>
      <c r="Y12" s="170" t="s">
        <v>14</v>
      </c>
      <c r="Z12" s="170"/>
      <c r="AA12" s="170"/>
      <c r="AB12" s="170"/>
      <c r="AC12" s="161">
        <f>SUM(AC7:AC11)</f>
        <v>1431.5</v>
      </c>
    </row>
    <row r="13" spans="8:8">
      <c r="A13" s="160">
        <v>9.0</v>
      </c>
      <c r="B13" s="160" t="s">
        <v>56</v>
      </c>
      <c r="C13" s="161">
        <f>Sheet2!G11*2/1000</f>
        <v>5.892</v>
      </c>
      <c r="D13" s="162">
        <v>10.0</v>
      </c>
      <c r="E13" s="161">
        <f t="shared" si="0"/>
        <v>59.0</v>
      </c>
      <c r="F13" s="161">
        <f t="shared" si="1"/>
        <v>5.892</v>
      </c>
      <c r="G13" s="161">
        <f t="shared" si="2"/>
        <v>0.0</v>
      </c>
      <c r="H13" s="164"/>
      <c r="I13" s="156"/>
      <c r="J13" s="156"/>
      <c r="K13" s="156"/>
      <c r="L13" s="156"/>
      <c r="M13" s="156"/>
      <c r="N13" s="156"/>
      <c r="O13" s="160">
        <v>7.0</v>
      </c>
      <c r="P13" s="165">
        <f>'DAILY REGESTER'!A10</f>
        <v>45876.0</v>
      </c>
      <c r="Q13" s="166" t="str">
        <f>'ASTMITED BILL'!P9</f>
        <v>iRrkxksHkh] vkyw] VekVj</v>
      </c>
      <c r="R13" s="167">
        <f>'ASTMITED BILL'!Q9</f>
        <v>9.200000000000001</v>
      </c>
      <c r="S13" s="162">
        <f>'ASTMITED BILL'!R9</f>
        <v>30.0</v>
      </c>
      <c r="T13" s="162">
        <f>'ASTMITED BILL'!S9</f>
        <v>276.00000000000006</v>
      </c>
      <c r="U13" s="167">
        <f t="shared" si="3"/>
        <v>9.200000000000001</v>
      </c>
      <c r="V13" s="167">
        <f t="shared" si="4"/>
        <v>0.0</v>
      </c>
      <c r="W13" s="156"/>
      <c r="X13" s="171" t="s">
        <v>74</v>
      </c>
      <c r="Y13" s="171"/>
      <c r="Z13" s="171"/>
      <c r="AA13" s="156"/>
      <c r="AB13" s="156"/>
      <c r="AC13" s="156"/>
    </row>
    <row r="14" spans="8:8">
      <c r="A14" s="160">
        <v>10.0</v>
      </c>
      <c r="B14" s="160" t="s">
        <v>84</v>
      </c>
      <c r="C14" s="161">
        <v>5.0</v>
      </c>
      <c r="D14" s="162">
        <v>1.0</v>
      </c>
      <c r="E14" s="161">
        <f t="shared" si="0"/>
        <v>5.0</v>
      </c>
      <c r="F14" s="161">
        <f t="shared" si="1"/>
        <v>5.0</v>
      </c>
      <c r="G14" s="161">
        <f t="shared" si="2"/>
        <v>0.0</v>
      </c>
      <c r="H14" s="164"/>
      <c r="I14" s="156"/>
      <c r="J14" s="156"/>
      <c r="K14" s="156"/>
      <c r="L14" s="156"/>
      <c r="M14" s="156"/>
      <c r="N14" s="156"/>
      <c r="O14" s="160">
        <v>8.0</v>
      </c>
      <c r="P14" s="165">
        <f>'DAILY REGESTER'!A11</f>
        <v>45877.0</v>
      </c>
      <c r="Q14" s="166" t="str">
        <f>'ASTMITED BILL'!P10</f>
        <v>CkSaxu] VekVj</v>
      </c>
      <c r="R14" s="167">
        <f>'ASTMITED BILL'!Q10</f>
        <v>10.3</v>
      </c>
      <c r="S14" s="162">
        <f>'ASTMITED BILL'!R10</f>
        <v>30.0</v>
      </c>
      <c r="T14" s="162">
        <f>'ASTMITED BILL'!S10</f>
        <v>309.0</v>
      </c>
      <c r="U14" s="167">
        <f t="shared" si="3"/>
        <v>10.3</v>
      </c>
      <c r="V14" s="167">
        <f t="shared" si="4"/>
        <v>0.0</v>
      </c>
      <c r="W14" s="156"/>
      <c r="X14" s="172" t="s">
        <v>75</v>
      </c>
      <c r="Y14" s="173">
        <f>Y33</f>
        <v>15220.0</v>
      </c>
      <c r="Z14" s="173"/>
      <c r="AA14" s="156"/>
      <c r="AB14" s="156"/>
      <c r="AC14" s="156"/>
    </row>
    <row r="15" spans="8:8">
      <c r="A15" s="160">
        <v>11.0</v>
      </c>
      <c r="B15" s="160" t="s">
        <v>85</v>
      </c>
      <c r="C15" s="161">
        <v>5.0</v>
      </c>
      <c r="D15" s="162">
        <v>10.0</v>
      </c>
      <c r="E15" s="161">
        <f t="shared" si="0"/>
        <v>50.0</v>
      </c>
      <c r="F15" s="161">
        <f t="shared" si="1"/>
        <v>5.0</v>
      </c>
      <c r="G15" s="161">
        <f t="shared" si="2"/>
        <v>0.0</v>
      </c>
      <c r="H15" s="164"/>
      <c r="I15" s="156"/>
      <c r="J15" s="156"/>
      <c r="K15" s="156"/>
      <c r="L15" s="156"/>
      <c r="M15" s="156"/>
      <c r="N15" s="156"/>
      <c r="O15" s="160">
        <v>9.0</v>
      </c>
      <c r="P15" s="165">
        <f>'DAILY REGESTER'!A12</f>
        <v>45878.0</v>
      </c>
      <c r="Q15" s="166">
        <f>'ASTMITED BILL'!P11</f>
        <v>0.0</v>
      </c>
      <c r="R15" s="167">
        <f>'ASTMITED BILL'!Q11</f>
        <v>0.0</v>
      </c>
      <c r="S15" s="162">
        <f>'ASTMITED BILL'!R11</f>
        <v>30.0</v>
      </c>
      <c r="T15" s="162">
        <f>'ASTMITED BILL'!S11</f>
        <v>0.0</v>
      </c>
      <c r="U15" s="167">
        <f t="shared" si="3"/>
        <v>0.0</v>
      </c>
      <c r="V15" s="167">
        <f t="shared" si="4"/>
        <v>0.0</v>
      </c>
      <c r="W15" s="156"/>
      <c r="X15" s="172" t="s">
        <v>66</v>
      </c>
      <c r="Y15" s="173">
        <f t="shared" si="6" ref="Y15:Y18">Y34</f>
        <v>1431.5</v>
      </c>
      <c r="Z15" s="173"/>
      <c r="AA15" s="156"/>
      <c r="AB15" s="156"/>
      <c r="AC15" s="156"/>
    </row>
    <row r="16" spans="8:8">
      <c r="A16" s="174" t="s">
        <v>57</v>
      </c>
      <c r="B16" s="174"/>
      <c r="C16" s="174"/>
      <c r="D16" s="174"/>
      <c r="E16" s="161">
        <f>SUM(E5:E15)</f>
        <v>15220.0</v>
      </c>
      <c r="F16" s="161">
        <f t="shared" si="1"/>
        <v>0.0</v>
      </c>
      <c r="G16" s="161">
        <f t="shared" si="2"/>
        <v>0.0</v>
      </c>
      <c r="H16" s="164"/>
      <c r="I16" s="156"/>
      <c r="J16" s="156"/>
      <c r="K16" s="156"/>
      <c r="L16" s="156"/>
      <c r="M16" s="156"/>
      <c r="N16" s="156"/>
      <c r="O16" s="160">
        <v>10.0</v>
      </c>
      <c r="P16" s="165">
        <f>'DAILY REGESTER'!A13</f>
        <v>45879.0</v>
      </c>
      <c r="Q16" s="166" t="str">
        <f>'ASTMITED BILL'!P12</f>
        <v> </v>
      </c>
      <c r="R16" s="167">
        <f>'ASTMITED BILL'!Q12</f>
        <v>0.0</v>
      </c>
      <c r="S16" s="162">
        <f>'ASTMITED BILL'!R12</f>
        <v>30.0</v>
      </c>
      <c r="T16" s="162">
        <f>'ASTMITED BILL'!S12</f>
        <v>0.0</v>
      </c>
      <c r="U16" s="167">
        <f t="shared" si="3"/>
        <v>0.0</v>
      </c>
      <c r="V16" s="167">
        <f t="shared" si="4"/>
        <v>0.0</v>
      </c>
      <c r="W16" s="156"/>
      <c r="X16" s="172" t="s">
        <v>67</v>
      </c>
      <c r="Y16" s="173">
        <f t="shared" si="6"/>
        <v>6561.5</v>
      </c>
      <c r="Z16" s="173"/>
      <c r="AA16" s="156"/>
      <c r="AB16" s="156"/>
      <c r="AC16" s="156"/>
    </row>
    <row r="17" spans="8:8">
      <c r="H17" s="164"/>
      <c r="I17" s="156"/>
      <c r="J17" s="156"/>
      <c r="K17" s="156"/>
      <c r="L17" s="156"/>
      <c r="M17" s="156"/>
      <c r="N17" s="156"/>
      <c r="O17" s="160">
        <v>11.0</v>
      </c>
      <c r="P17" s="165">
        <f>'DAILY REGESTER'!A14</f>
        <v>45880.0</v>
      </c>
      <c r="Q17" s="166" t="str">
        <f>'ASTMITED BILL'!P13</f>
        <v>Xokj Qyh</v>
      </c>
      <c r="R17" s="167">
        <f>'ASTMITED BILL'!Q13</f>
        <v>7.1000000000000005</v>
      </c>
      <c r="S17" s="162">
        <f>'ASTMITED BILL'!R13</f>
        <v>40.0</v>
      </c>
      <c r="T17" s="162">
        <f>'ASTMITED BILL'!S13</f>
        <v>284.0</v>
      </c>
      <c r="U17" s="167">
        <f t="shared" si="3"/>
        <v>7.1000000000000005</v>
      </c>
      <c r="V17" s="167">
        <f t="shared" si="4"/>
        <v>0.0</v>
      </c>
      <c r="W17" s="156"/>
      <c r="X17" s="172" t="s">
        <v>68</v>
      </c>
      <c r="Y17" s="173">
        <f t="shared" si="6"/>
        <v>1784.0</v>
      </c>
      <c r="Z17" s="173"/>
      <c r="AA17" s="156"/>
      <c r="AB17" s="156" t="s">
        <v>100</v>
      </c>
      <c r="AC17" s="156"/>
    </row>
    <row r="18" spans="8:8">
      <c r="H18" s="156"/>
      <c r="I18" s="156"/>
      <c r="J18" s="156"/>
      <c r="K18" s="164"/>
      <c r="L18" s="156"/>
      <c r="M18" s="156"/>
      <c r="N18" s="156"/>
      <c r="O18" s="160">
        <v>12.0</v>
      </c>
      <c r="P18" s="165">
        <f>'DAILY REGESTER'!A15</f>
        <v>45881.0</v>
      </c>
      <c r="Q18" s="166" t="str">
        <f>'ASTMITED BILL'!P14</f>
        <v>yksdh VekVj</v>
      </c>
      <c r="R18" s="167">
        <f>'ASTMITED BILL'!Q14</f>
        <v>10.3</v>
      </c>
      <c r="S18" s="162">
        <f>'ASTMITED BILL'!R14</f>
        <v>30.0</v>
      </c>
      <c r="T18" s="162">
        <f>'ASTMITED BILL'!S14</f>
        <v>309.0</v>
      </c>
      <c r="U18" s="167">
        <f t="shared" si="3"/>
        <v>10.3</v>
      </c>
      <c r="V18" s="167">
        <f t="shared" si="4"/>
        <v>0.0</v>
      </c>
      <c r="W18" s="156"/>
      <c r="X18" s="172" t="s">
        <v>69</v>
      </c>
      <c r="Y18" s="173">
        <f t="shared" si="6"/>
        <v>839.65</v>
      </c>
      <c r="Z18" s="173"/>
      <c r="AA18" s="156"/>
      <c r="AB18" s="156"/>
      <c r="AC18" s="156"/>
    </row>
    <row r="19" spans="8:8">
      <c r="A19" s="154" t="s">
        <v>58</v>
      </c>
      <c r="B19" s="154"/>
      <c r="C19" s="154"/>
      <c r="D19" s="154"/>
      <c r="E19" s="154"/>
      <c r="F19" s="161">
        <f t="shared" si="7" ref="F19:F23">C19</f>
        <v>0.0</v>
      </c>
      <c r="G19" s="161">
        <f t="shared" si="8" ref="G19:G23">C19-F19</f>
        <v>0.0</v>
      </c>
      <c r="H19" s="176"/>
      <c r="I19" s="156"/>
      <c r="J19" s="156"/>
      <c r="K19" s="156"/>
      <c r="L19" s="156"/>
      <c r="M19" s="156"/>
      <c r="N19" s="156"/>
      <c r="O19" s="160">
        <v>13.0</v>
      </c>
      <c r="P19" s="165">
        <f>'DAILY REGESTER'!A16</f>
        <v>45882.0</v>
      </c>
      <c r="Q19" s="166" t="str">
        <f>'ASTMITED BILL'!P15</f>
        <v>VekVj] fefpZ</v>
      </c>
      <c r="R19" s="167">
        <f>'ASTMITED BILL'!Q15</f>
        <v>11.8</v>
      </c>
      <c r="S19" s="162">
        <f>'ASTMITED BILL'!R15</f>
        <v>25.0</v>
      </c>
      <c r="T19" s="162">
        <f>'ASTMITED BILL'!S15</f>
        <v>295.0</v>
      </c>
      <c r="U19" s="167">
        <f t="shared" si="3"/>
        <v>11.8</v>
      </c>
      <c r="V19" s="167">
        <f t="shared" si="4"/>
        <v>0.0</v>
      </c>
      <c r="W19" s="156"/>
      <c r="X19" s="172" t="s">
        <v>89</v>
      </c>
      <c r="Y19" s="173">
        <f>E37</f>
        <v>659.3499999999985</v>
      </c>
      <c r="Z19" s="173"/>
      <c r="AA19" s="156"/>
      <c r="AB19" s="156"/>
      <c r="AC19" s="156"/>
    </row>
    <row r="20" spans="8:8" ht="33.0">
      <c r="A20" s="157" t="s">
        <v>47</v>
      </c>
      <c r="B20" s="157" t="s">
        <v>43</v>
      </c>
      <c r="C20" s="157" t="s">
        <v>44</v>
      </c>
      <c r="D20" s="157" t="s">
        <v>45</v>
      </c>
      <c r="E20" s="157" t="s">
        <v>46</v>
      </c>
      <c r="F20" s="207" t="s">
        <v>103</v>
      </c>
      <c r="G20" s="208" t="s">
        <v>104</v>
      </c>
      <c r="H20" s="156"/>
      <c r="I20" s="156"/>
      <c r="J20" s="156"/>
      <c r="K20" s="156"/>
      <c r="L20" s="156"/>
      <c r="M20" s="156"/>
      <c r="N20" s="156"/>
      <c r="O20" s="160">
        <v>14.0</v>
      </c>
      <c r="P20" s="165">
        <f>'DAILY REGESTER'!A17</f>
        <v>45883.0</v>
      </c>
      <c r="Q20" s="166" t="str">
        <f>'ASTMITED BILL'!P16</f>
        <v>vkyw] iRrkxksHkh] VekVj</v>
      </c>
      <c r="R20" s="167">
        <f>'ASTMITED BILL'!Q16</f>
        <v>11.3</v>
      </c>
      <c r="S20" s="162">
        <f>'ASTMITED BILL'!R16</f>
        <v>30.0</v>
      </c>
      <c r="T20" s="162">
        <f>'ASTMITED BILL'!S16</f>
        <v>339.0</v>
      </c>
      <c r="U20" s="167">
        <f t="shared" si="3"/>
        <v>11.3</v>
      </c>
      <c r="V20" s="167">
        <f t="shared" si="4"/>
        <v>0.0</v>
      </c>
      <c r="W20" s="156"/>
      <c r="X20" s="177" t="s">
        <v>35</v>
      </c>
      <c r="Y20" s="178">
        <f>SUM(Y14:Z19)</f>
        <v>26496.0</v>
      </c>
      <c r="Z20" s="178"/>
      <c r="AA20" s="156"/>
      <c r="AB20" s="156"/>
      <c r="AC20" s="156"/>
    </row>
    <row r="21" spans="8:8">
      <c r="A21" s="160">
        <v>1.0</v>
      </c>
      <c r="B21" s="160" t="s">
        <v>59</v>
      </c>
      <c r="C21" s="162">
        <v>2.0</v>
      </c>
      <c r="D21" s="166">
        <v>892.0</v>
      </c>
      <c r="E21" s="161">
        <f>D21*C21</f>
        <v>1784.0</v>
      </c>
      <c r="F21" s="161">
        <v>1.0</v>
      </c>
      <c r="G21" s="161">
        <f t="shared" si="8"/>
        <v>1.0</v>
      </c>
      <c r="H21" s="156"/>
      <c r="I21" s="156"/>
      <c r="J21" s="156"/>
      <c r="K21" s="156"/>
      <c r="L21" s="156"/>
      <c r="M21" s="156"/>
      <c r="N21" s="156"/>
      <c r="O21" s="160">
        <v>15.0</v>
      </c>
      <c r="P21" s="165">
        <f>'DAILY REGESTER'!A18</f>
        <v>45884.0</v>
      </c>
      <c r="Q21" s="166">
        <f>'ASTMITED BILL'!P17</f>
        <v>0.0</v>
      </c>
      <c r="R21" s="167">
        <f>'ASTMITED BILL'!Q17</f>
        <v>0.0</v>
      </c>
      <c r="S21" s="162">
        <f>'ASTMITED BILL'!R17</f>
        <v>40.0</v>
      </c>
      <c r="T21" s="162">
        <f>'ASTMITED BILL'!S17</f>
        <v>0.0</v>
      </c>
      <c r="U21" s="167">
        <f t="shared" si="3"/>
        <v>0.0</v>
      </c>
      <c r="V21" s="167">
        <f t="shared" si="4"/>
        <v>0.0</v>
      </c>
      <c r="W21" s="179"/>
      <c r="X21" s="179"/>
      <c r="Y21" s="179"/>
      <c r="Z21" s="179"/>
      <c r="AA21" s="156"/>
      <c r="AB21" s="156"/>
      <c r="AC21" s="156"/>
    </row>
    <row r="22" spans="8:8">
      <c r="A22" s="160">
        <v>2.0</v>
      </c>
      <c r="B22" s="160"/>
      <c r="C22" s="166"/>
      <c r="D22" s="166"/>
      <c r="E22" s="161"/>
      <c r="F22" s="161">
        <f t="shared" si="7"/>
        <v>0.0</v>
      </c>
      <c r="G22" s="161">
        <f t="shared" si="8"/>
        <v>0.0</v>
      </c>
      <c r="H22" s="156"/>
      <c r="I22" s="156"/>
      <c r="J22" s="156"/>
      <c r="K22" s="156"/>
      <c r="L22" s="156"/>
      <c r="M22" s="156"/>
      <c r="N22" s="156"/>
      <c r="O22" s="160">
        <v>16.0</v>
      </c>
      <c r="P22" s="165">
        <f>'DAILY REGESTER'!A19</f>
        <v>45885.0</v>
      </c>
      <c r="Q22" s="166">
        <f>'ASTMITED BILL'!P18</f>
        <v>0.0</v>
      </c>
      <c r="R22" s="167">
        <f>'ASTMITED BILL'!Q18</f>
        <v>0.0</v>
      </c>
      <c r="S22" s="162">
        <f>'ASTMITED BILL'!R18</f>
        <v>30.0</v>
      </c>
      <c r="T22" s="162">
        <f>'ASTMITED BILL'!S18</f>
        <v>0.0</v>
      </c>
      <c r="U22" s="167">
        <f t="shared" si="3"/>
        <v>0.0</v>
      </c>
      <c r="V22" s="167">
        <f t="shared" si="4"/>
        <v>0.0</v>
      </c>
      <c r="W22" s="179"/>
      <c r="X22" s="180" t="s">
        <v>70</v>
      </c>
      <c r="Y22" s="180"/>
      <c r="Z22" s="180"/>
      <c r="AA22" s="156"/>
      <c r="AB22" s="156"/>
      <c r="AC22" s="156"/>
    </row>
    <row r="23" spans="8:8">
      <c r="A23" s="160">
        <v>3.0</v>
      </c>
      <c r="B23" s="160"/>
      <c r="C23" s="160"/>
      <c r="D23" s="160"/>
      <c r="E23" s="161"/>
      <c r="F23" s="161">
        <f t="shared" si="7"/>
        <v>0.0</v>
      </c>
      <c r="G23" s="161">
        <f t="shared" si="8"/>
        <v>0.0</v>
      </c>
      <c r="H23" s="156"/>
      <c r="I23" s="156"/>
      <c r="J23" s="156"/>
      <c r="K23" s="156"/>
      <c r="L23" s="156"/>
      <c r="M23" s="156"/>
      <c r="N23" s="156"/>
      <c r="O23" s="160">
        <v>17.0</v>
      </c>
      <c r="P23" s="165">
        <f>'DAILY REGESTER'!A20</f>
        <v>45886.0</v>
      </c>
      <c r="Q23" s="166" t="str">
        <f>'ASTMITED BILL'!P19</f>
        <v>aaaaaagggggg</v>
      </c>
      <c r="R23" s="167">
        <f>'ASTMITED BILL'!Q19</f>
        <v>0.0</v>
      </c>
      <c r="S23" s="162">
        <f>'ASTMITED BILL'!R19</f>
        <v>50.0</v>
      </c>
      <c r="T23" s="162">
        <f>'ASTMITED BILL'!S19</f>
        <v>0.0</v>
      </c>
      <c r="U23" s="167">
        <f t="shared" si="3"/>
        <v>0.0</v>
      </c>
      <c r="V23" s="167">
        <f t="shared" si="4"/>
        <v>0.0</v>
      </c>
      <c r="W23" s="179"/>
      <c r="X23" s="180" t="s">
        <v>71</v>
      </c>
      <c r="Y23" s="180"/>
      <c r="Z23" s="181">
        <f>Sheet2!H10</f>
        <v>26496.0</v>
      </c>
      <c r="AA23" s="156"/>
      <c r="AB23" s="156"/>
      <c r="AC23" s="156"/>
    </row>
    <row r="24" spans="8:8">
      <c r="A24" s="160">
        <v>4.0</v>
      </c>
      <c r="B24" s="182" t="s">
        <v>35</v>
      </c>
      <c r="C24" s="183"/>
      <c r="D24" s="184"/>
      <c r="E24" s="161">
        <f>SUM(E21:E23)</f>
        <v>1784.0</v>
      </c>
      <c r="F24" s="157"/>
      <c r="G24" s="157"/>
      <c r="H24" s="156"/>
      <c r="I24" s="156"/>
      <c r="J24" s="156"/>
      <c r="K24" s="156"/>
      <c r="L24" s="156"/>
      <c r="M24" s="156"/>
      <c r="N24" s="156"/>
      <c r="O24" s="160">
        <v>18.0</v>
      </c>
      <c r="P24" s="165">
        <f>'DAILY REGESTER'!A21</f>
        <v>45887.0</v>
      </c>
      <c r="Q24" s="166" t="str">
        <f>'ASTMITED BILL'!P20</f>
        <v>VekVj] fefpZ</v>
      </c>
      <c r="R24" s="167">
        <f>'ASTMITED BILL'!Q20</f>
        <v>11.100000000000001</v>
      </c>
      <c r="S24" s="162">
        <f>'ASTMITED BILL'!R20</f>
        <v>40.0</v>
      </c>
      <c r="T24" s="162">
        <f>'ASTMITED BILL'!S20</f>
        <v>444.00000000000006</v>
      </c>
      <c r="U24" s="167">
        <f t="shared" si="3"/>
        <v>11.100000000000001</v>
      </c>
      <c r="V24" s="167">
        <f t="shared" si="4"/>
        <v>0.0</v>
      </c>
      <c r="W24" s="179"/>
      <c r="X24" s="185" t="s">
        <v>72</v>
      </c>
      <c r="Y24" s="185"/>
      <c r="Z24" s="181">
        <f>Y38</f>
        <v>25836.65</v>
      </c>
      <c r="AA24" s="156"/>
      <c r="AB24" s="156"/>
      <c r="AC24" s="156"/>
    </row>
    <row r="25" spans="8:8">
      <c r="A25" s="156"/>
      <c r="B25" s="156"/>
      <c r="C25" s="156"/>
      <c r="D25" s="156"/>
      <c r="E25" s="156"/>
      <c r="F25" s="157"/>
      <c r="G25" s="157"/>
      <c r="H25" s="156"/>
      <c r="I25" s="156"/>
      <c r="J25" s="156"/>
      <c r="K25" s="156"/>
      <c r="L25" s="156"/>
      <c r="M25" s="156"/>
      <c r="N25" s="156"/>
      <c r="O25" s="160">
        <v>19.0</v>
      </c>
      <c r="P25" s="165">
        <f>'DAILY REGESTER'!A22</f>
        <v>45888.0</v>
      </c>
      <c r="Q25" s="166" t="str">
        <f>'ASTMITED BILL'!P21</f>
        <v>yksdh VekVj</v>
      </c>
      <c r="R25" s="167">
        <f>'ASTMITED BILL'!Q21</f>
        <v>12.3</v>
      </c>
      <c r="S25" s="162">
        <f>'ASTMITED BILL'!R21</f>
        <v>30.0</v>
      </c>
      <c r="T25" s="162">
        <f>'ASTMITED BILL'!S21</f>
        <v>369.0</v>
      </c>
      <c r="U25" s="167">
        <f t="shared" si="3"/>
        <v>12.3</v>
      </c>
      <c r="V25" s="167">
        <f t="shared" si="4"/>
        <v>0.0</v>
      </c>
      <c r="W25" s="179"/>
      <c r="X25" s="185" t="s">
        <v>70</v>
      </c>
      <c r="Y25" s="185"/>
      <c r="Z25" s="181">
        <f>Z23-Z24</f>
        <v>659.3499999999985</v>
      </c>
      <c r="AA25" s="156"/>
      <c r="AB25" s="156"/>
      <c r="AC25" s="156"/>
    </row>
    <row r="26" spans="8:8">
      <c r="A26" s="154" t="s">
        <v>63</v>
      </c>
      <c r="B26" s="154"/>
      <c r="C26" s="154"/>
      <c r="D26" s="154"/>
      <c r="E26" s="154"/>
      <c r="F26" s="157"/>
      <c r="G26" s="157"/>
      <c r="H26" s="156"/>
      <c r="I26" s="156"/>
      <c r="J26" s="156"/>
      <c r="K26" s="156"/>
      <c r="L26" s="156"/>
      <c r="M26" s="156"/>
      <c r="N26" s="156"/>
      <c r="O26" s="160">
        <v>20.0</v>
      </c>
      <c r="P26" s="165">
        <f>'DAILY REGESTER'!A23</f>
        <v>45889.0</v>
      </c>
      <c r="Q26" s="166" t="str">
        <f>'ASTMITED BILL'!P22</f>
        <v>iRrkxksHkh] vkyw] VekVj</v>
      </c>
      <c r="R26" s="167">
        <f>'ASTMITED BILL'!Q22</f>
        <v>12.3</v>
      </c>
      <c r="S26" s="162">
        <f>'ASTMITED BILL'!R22</f>
        <v>30.0</v>
      </c>
      <c r="T26" s="162">
        <f>'ASTMITED BILL'!S22</f>
        <v>369.0</v>
      </c>
      <c r="U26" s="167">
        <f t="shared" si="3"/>
        <v>12.3</v>
      </c>
      <c r="V26" s="167">
        <f t="shared" si="4"/>
        <v>0.0</v>
      </c>
      <c r="W26" s="156"/>
      <c r="X26" s="156"/>
      <c r="Y26" s="156"/>
      <c r="Z26" s="156"/>
      <c r="AA26" s="156"/>
      <c r="AB26" s="156"/>
      <c r="AC26" s="156"/>
    </row>
    <row r="27" spans="8:8" ht="31.5">
      <c r="A27" s="157" t="s">
        <v>47</v>
      </c>
      <c r="B27" s="157" t="s">
        <v>43</v>
      </c>
      <c r="C27" s="210" t="s">
        <v>65</v>
      </c>
      <c r="D27" s="157" t="s">
        <v>45</v>
      </c>
      <c r="E27" s="157" t="s">
        <v>46</v>
      </c>
      <c r="F27" s="157"/>
      <c r="G27" s="157"/>
      <c r="H27" s="156"/>
      <c r="I27" s="156"/>
      <c r="J27" s="156"/>
      <c r="K27" s="156"/>
      <c r="L27" s="156"/>
      <c r="M27" s="156"/>
      <c r="N27" s="156"/>
      <c r="O27" s="160">
        <v>21.0</v>
      </c>
      <c r="P27" s="165">
        <f>'DAILY REGESTER'!A24</f>
        <v>45890.0</v>
      </c>
      <c r="Q27" s="166" t="str">
        <f>'ASTMITED BILL'!P23</f>
        <v>vkyw] VekVj</v>
      </c>
      <c r="R27" s="167">
        <f>'ASTMITED BILL'!Q23</f>
        <v>10.8</v>
      </c>
      <c r="S27" s="162">
        <f>'ASTMITED BILL'!R23</f>
        <v>30.0</v>
      </c>
      <c r="T27" s="162">
        <f>'ASTMITED BILL'!S23</f>
        <v>324.0</v>
      </c>
      <c r="U27" s="167">
        <f t="shared" si="3"/>
        <v>10.8</v>
      </c>
      <c r="V27" s="167">
        <f t="shared" si="4"/>
        <v>0.0</v>
      </c>
      <c r="W27" s="156"/>
      <c r="X27" s="186" t="s">
        <v>70</v>
      </c>
      <c r="Y27" s="186"/>
      <c r="Z27" s="186"/>
      <c r="AA27" s="156"/>
      <c r="AB27" s="156"/>
      <c r="AC27" s="156"/>
    </row>
    <row r="28" spans="8:8">
      <c r="A28" s="160">
        <v>1.0</v>
      </c>
      <c r="B28" s="160" t="s">
        <v>64</v>
      </c>
      <c r="C28" s="161">
        <f>'DAILY REGESTER'!H35</f>
        <v>239.9</v>
      </c>
      <c r="D28" s="162">
        <v>3.5</v>
      </c>
      <c r="E28" s="161">
        <f>C28*D28</f>
        <v>839.65</v>
      </c>
      <c r="F28" s="157"/>
      <c r="G28" s="157"/>
      <c r="H28" s="156"/>
      <c r="I28" s="156"/>
      <c r="J28" s="156"/>
      <c r="K28" s="156"/>
      <c r="L28" s="156"/>
      <c r="M28" s="156"/>
      <c r="N28" s="156"/>
      <c r="O28" s="160">
        <v>22.0</v>
      </c>
      <c r="P28" s="165">
        <f>'DAILY REGESTER'!A25</f>
        <v>45891.0</v>
      </c>
      <c r="Q28" s="166" t="str">
        <f>'ASTMITED BILL'!P24</f>
        <v>gjs I;kt] vkyw</v>
      </c>
      <c r="R28" s="167">
        <f>'ASTMITED BILL'!Q24</f>
        <v>10.100000000000001</v>
      </c>
      <c r="S28" s="162">
        <f>'ASTMITED BILL'!R24</f>
        <v>30.0</v>
      </c>
      <c r="T28" s="162">
        <f>'ASTMITED BILL'!S24</f>
        <v>303.00000000000006</v>
      </c>
      <c r="U28" s="167">
        <f t="shared" si="3"/>
        <v>10.100000000000001</v>
      </c>
      <c r="V28" s="167">
        <f t="shared" si="4"/>
        <v>0.0</v>
      </c>
      <c r="W28" s="156"/>
      <c r="X28" s="187" t="s">
        <v>71</v>
      </c>
      <c r="Y28" s="187"/>
      <c r="Z28" s="188">
        <f>Sheet2!H10</f>
        <v>26496.0</v>
      </c>
      <c r="AA28" s="156"/>
      <c r="AB28" s="156"/>
      <c r="AC28" s="156"/>
    </row>
    <row r="29" spans="8:8">
      <c r="A29" s="160">
        <v>2.0</v>
      </c>
      <c r="B29" s="160"/>
      <c r="C29" s="160"/>
      <c r="D29" s="160"/>
      <c r="E29" s="161"/>
      <c r="F29" s="157"/>
      <c r="G29" s="157"/>
      <c r="H29" s="156"/>
      <c r="I29" s="156"/>
      <c r="J29" s="156"/>
      <c r="K29" s="156"/>
      <c r="L29" s="156"/>
      <c r="M29" s="156"/>
      <c r="N29" s="156"/>
      <c r="O29" s="160">
        <v>23.0</v>
      </c>
      <c r="P29" s="165">
        <f>'DAILY REGESTER'!A26</f>
        <v>45892.0</v>
      </c>
      <c r="Q29" s="166" t="str">
        <f>'ASTMITED BILL'!P25</f>
        <v>ikyd] VekVj</v>
      </c>
      <c r="R29" s="167">
        <f>'ASTMITED BILL'!Q25</f>
        <v>10.100000000000001</v>
      </c>
      <c r="S29" s="162">
        <f>'ASTMITED BILL'!R25</f>
        <v>30.0</v>
      </c>
      <c r="T29" s="162">
        <f>'ASTMITED BILL'!S25</f>
        <v>303.00000000000006</v>
      </c>
      <c r="U29" s="167">
        <f t="shared" si="3"/>
        <v>10.100000000000001</v>
      </c>
      <c r="V29" s="167">
        <f t="shared" si="4"/>
        <v>0.0</v>
      </c>
      <c r="W29" s="156"/>
      <c r="X29" s="189" t="s">
        <v>72</v>
      </c>
      <c r="Y29" s="189"/>
      <c r="Z29" s="188">
        <f>Y20</f>
        <v>26496.0</v>
      </c>
      <c r="AA29" s="156"/>
      <c r="AB29" s="156"/>
      <c r="AC29" s="156"/>
    </row>
    <row r="30" spans="8:8">
      <c r="A30" s="160">
        <v>3.0</v>
      </c>
      <c r="B30" s="160"/>
      <c r="C30" s="160"/>
      <c r="D30" s="160"/>
      <c r="E30" s="161"/>
      <c r="F30" s="157" t="s">
        <v>105</v>
      </c>
      <c r="G30" s="157"/>
      <c r="H30" s="156"/>
      <c r="I30" s="156"/>
      <c r="J30" s="156"/>
      <c r="K30" s="156"/>
      <c r="L30" s="156"/>
      <c r="M30" s="156"/>
      <c r="N30" s="156"/>
      <c r="O30" s="160">
        <v>24.0</v>
      </c>
      <c r="P30" s="165">
        <f>'DAILY REGESTER'!A27</f>
        <v>45893.0</v>
      </c>
      <c r="Q30" s="166">
        <f>'ASTMITED BILL'!P26</f>
        <v>0.0</v>
      </c>
      <c r="R30" s="167">
        <f>'ASTMITED BILL'!Q26</f>
        <v>0.0</v>
      </c>
      <c r="S30" s="162">
        <f>'ASTMITED BILL'!R26</f>
        <v>40.0</v>
      </c>
      <c r="T30" s="162">
        <f>'ASTMITED BILL'!S26</f>
        <v>0.0</v>
      </c>
      <c r="U30" s="167">
        <f t="shared" si="3"/>
        <v>0.0</v>
      </c>
      <c r="V30" s="167">
        <f t="shared" si="4"/>
        <v>0.0</v>
      </c>
      <c r="W30" s="156"/>
      <c r="X30" s="190" t="s">
        <v>70</v>
      </c>
      <c r="Y30" s="190"/>
      <c r="Z30" s="191">
        <f>Z28-Z29</f>
        <v>0.0</v>
      </c>
      <c r="AA30" s="156"/>
      <c r="AB30" s="156"/>
      <c r="AC30" s="156"/>
    </row>
    <row r="31" spans="8:8">
      <c r="A31" s="160">
        <v>4.0</v>
      </c>
      <c r="B31" s="192" t="s">
        <v>35</v>
      </c>
      <c r="C31" s="192"/>
      <c r="D31" s="192"/>
      <c r="E31" s="169">
        <f>SUM(E28:E29)</f>
        <v>839.65</v>
      </c>
      <c r="F31" s="157"/>
      <c r="G31" s="157"/>
      <c r="H31" s="156"/>
      <c r="I31" s="156"/>
      <c r="J31" s="156"/>
      <c r="K31" s="156"/>
      <c r="L31" s="156"/>
      <c r="M31" s="156"/>
      <c r="N31" s="156"/>
      <c r="O31" s="160">
        <v>25.0</v>
      </c>
      <c r="P31" s="165">
        <f>'DAILY REGESTER'!A28</f>
        <v>45894.0</v>
      </c>
      <c r="Q31" s="166">
        <f>'ASTMITED BILL'!P27</f>
        <v>0.0</v>
      </c>
      <c r="R31" s="167">
        <f>'ASTMITED BILL'!Q27</f>
        <v>0.0</v>
      </c>
      <c r="S31" s="162">
        <f>'ASTMITED BILL'!R27</f>
        <v>30.0</v>
      </c>
      <c r="T31" s="162">
        <f>'ASTMITED BILL'!S27</f>
        <v>0.0</v>
      </c>
      <c r="U31" s="167">
        <f t="shared" si="3"/>
        <v>0.0</v>
      </c>
      <c r="V31" s="167">
        <f t="shared" si="4"/>
        <v>0.0</v>
      </c>
      <c r="W31" s="156"/>
      <c r="X31" s="193"/>
      <c r="Y31" s="193"/>
      <c r="Z31" s="156"/>
      <c r="AA31" s="156"/>
      <c r="AB31" s="156"/>
      <c r="AC31" s="156"/>
    </row>
    <row r="32" spans="8:8">
      <c r="A32" s="154" t="s">
        <v>86</v>
      </c>
      <c r="B32" s="154"/>
      <c r="C32" s="154"/>
      <c r="D32" s="154"/>
      <c r="E32" s="154"/>
      <c r="F32" s="157"/>
      <c r="G32" s="157"/>
      <c r="H32" s="156"/>
      <c r="I32" s="156"/>
      <c r="J32" s="156"/>
      <c r="K32" s="156"/>
      <c r="L32" s="156"/>
      <c r="M32" s="156"/>
      <c r="N32" s="156"/>
      <c r="O32" s="160">
        <v>26.0</v>
      </c>
      <c r="P32" s="165">
        <f>'DAILY REGESTER'!A29</f>
        <v>45895.0</v>
      </c>
      <c r="Q32" s="166">
        <f>'ASTMITED BILL'!P28</f>
        <v>0.0</v>
      </c>
      <c r="R32" s="167">
        <f>'ASTMITED BILL'!Q28</f>
        <v>0.0</v>
      </c>
      <c r="S32" s="162">
        <f>'ASTMITED BILL'!R28</f>
        <v>30.0</v>
      </c>
      <c r="T32" s="162">
        <f>'ASTMITED BILL'!S28</f>
        <v>0.0</v>
      </c>
      <c r="U32" s="167">
        <f t="shared" si="3"/>
        <v>0.0</v>
      </c>
      <c r="V32" s="167">
        <f t="shared" si="4"/>
        <v>0.0</v>
      </c>
      <c r="W32" s="156"/>
      <c r="X32" s="194" t="s">
        <v>74</v>
      </c>
      <c r="Y32" s="194"/>
      <c r="Z32" s="194"/>
      <c r="AA32" s="195"/>
      <c r="AB32" s="156"/>
      <c r="AC32" s="156"/>
    </row>
    <row r="33" spans="8:8">
      <c r="A33" s="157" t="s">
        <v>47</v>
      </c>
      <c r="B33" s="157" t="s">
        <v>43</v>
      </c>
      <c r="C33" s="157" t="s">
        <v>65</v>
      </c>
      <c r="D33" s="157" t="s">
        <v>45</v>
      </c>
      <c r="E33" s="157" t="s">
        <v>46</v>
      </c>
      <c r="F33" s="157"/>
      <c r="G33" s="157"/>
      <c r="H33" s="156"/>
      <c r="I33" s="156"/>
      <c r="J33" s="156"/>
      <c r="K33" s="156"/>
      <c r="L33" s="156"/>
      <c r="M33" s="156"/>
      <c r="N33" s="156"/>
      <c r="O33" s="160">
        <v>27.0</v>
      </c>
      <c r="P33" s="165">
        <f>'DAILY REGESTER'!A30</f>
        <v>45896.0</v>
      </c>
      <c r="Q33" s="166" t="str">
        <f>'ASTMITED BILL'!P29</f>
        <v>VekVj] fefpZ</v>
      </c>
      <c r="R33" s="167">
        <f>'ASTMITED BILL'!Q29</f>
        <v>6.5</v>
      </c>
      <c r="S33" s="162">
        <f>'ASTMITED BILL'!R29</f>
        <v>40.0</v>
      </c>
      <c r="T33" s="162">
        <f>'ASTMITED BILL'!S29</f>
        <v>260.0</v>
      </c>
      <c r="U33" s="167">
        <f t="shared" si="3"/>
        <v>6.5</v>
      </c>
      <c r="V33" s="167">
        <f t="shared" si="4"/>
        <v>0.0</v>
      </c>
      <c r="W33" s="156"/>
      <c r="X33" s="196" t="s">
        <v>75</v>
      </c>
      <c r="Y33" s="197">
        <f>E16</f>
        <v>15220.0</v>
      </c>
      <c r="Z33" s="197"/>
      <c r="AA33" s="195"/>
      <c r="AB33" s="156"/>
      <c r="AC33" s="156"/>
    </row>
    <row r="34" spans="8:8">
      <c r="A34" s="160">
        <v>1.0</v>
      </c>
      <c r="B34" s="160" t="s">
        <v>87</v>
      </c>
      <c r="C34" s="161">
        <f>MIN('DATA ENTRY'!G17*10/1000,'UNLOCK BILL'!Z25/'UNLOCK BILL'!D34)</f>
        <v>29.46</v>
      </c>
      <c r="D34" s="162">
        <v>20.0</v>
      </c>
      <c r="E34" s="161">
        <f>(C34*D34)</f>
        <v>589.2</v>
      </c>
      <c r="F34" s="157"/>
      <c r="G34" s="157"/>
      <c r="H34" s="156"/>
      <c r="I34" s="156"/>
      <c r="J34" s="156"/>
      <c r="K34" s="156"/>
      <c r="L34" s="156"/>
      <c r="M34" s="156"/>
      <c r="N34" s="156"/>
      <c r="O34" s="160">
        <v>28.0</v>
      </c>
      <c r="P34" s="165">
        <f>'DAILY REGESTER'!A31</f>
        <v>45897.0</v>
      </c>
      <c r="Q34" s="166" t="str">
        <f>'ASTMITED BILL'!P30</f>
        <v>cSaxu] VekVj] vkyw</v>
      </c>
      <c r="R34" s="167">
        <f>'ASTMITED BILL'!Q30</f>
        <v>10.5</v>
      </c>
      <c r="S34" s="162">
        <f>'ASTMITED BILL'!R30</f>
        <v>30.0</v>
      </c>
      <c r="T34" s="162">
        <f>'ASTMITED BILL'!S30</f>
        <v>315.0</v>
      </c>
      <c r="U34" s="167">
        <f t="shared" si="3"/>
        <v>10.5</v>
      </c>
      <c r="V34" s="167">
        <f t="shared" si="4"/>
        <v>0.0</v>
      </c>
      <c r="W34" s="156"/>
      <c r="X34" s="196" t="s">
        <v>66</v>
      </c>
      <c r="Y34" s="197">
        <f>AC12</f>
        <v>1431.5</v>
      </c>
      <c r="Z34" s="197"/>
      <c r="AA34" s="195"/>
      <c r="AB34" s="156"/>
      <c r="AC34" s="156"/>
    </row>
    <row r="35" spans="8:8">
      <c r="A35" s="160">
        <v>2.0</v>
      </c>
      <c r="B35" s="160" t="s">
        <v>88</v>
      </c>
      <c r="C35" s="161">
        <f>MIN('DATA ENTRY'!G17*2/10,'UNLOCK BILL'!Z25-'UNLOCK BILL'!E34)/'UNLOCK BILL'!D35</f>
        <v>0.701499999999985</v>
      </c>
      <c r="D35" s="162">
        <v>100.0</v>
      </c>
      <c r="E35" s="161">
        <f>(C35*D35)</f>
        <v>70.1499999999985</v>
      </c>
      <c r="F35" s="157"/>
      <c r="G35" s="157"/>
      <c r="H35" s="156"/>
      <c r="I35" s="156"/>
      <c r="J35" s="156"/>
      <c r="K35" s="156"/>
      <c r="L35" s="156"/>
      <c r="M35" s="156"/>
      <c r="N35" s="156"/>
      <c r="O35" s="160">
        <v>29.0</v>
      </c>
      <c r="P35" s="165">
        <f>'DAILY REGESTER'!A32</f>
        <v>45898.0</v>
      </c>
      <c r="Q35" s="166" t="str">
        <f>'ASTMITED BILL'!P31</f>
        <v>iRrkxksHkh] vkyw] VekVj</v>
      </c>
      <c r="R35" s="167">
        <f>'ASTMITED BILL'!Q31</f>
        <v>10.4</v>
      </c>
      <c r="S35" s="162">
        <f>'ASTMITED BILL'!R31</f>
        <v>30.0</v>
      </c>
      <c r="T35" s="162">
        <f>'ASTMITED BILL'!S31</f>
        <v>312.0</v>
      </c>
      <c r="U35" s="167">
        <f t="shared" si="3"/>
        <v>10.4</v>
      </c>
      <c r="V35" s="167">
        <f t="shared" si="4"/>
        <v>0.0</v>
      </c>
      <c r="W35" s="156"/>
      <c r="X35" s="196" t="s">
        <v>67</v>
      </c>
      <c r="Y35" s="197">
        <f>T38</f>
        <v>6561.5</v>
      </c>
      <c r="Z35" s="197"/>
      <c r="AA35" s="195"/>
      <c r="AB35" s="156"/>
      <c r="AC35" s="156"/>
    </row>
    <row r="36" spans="8:8">
      <c r="A36" s="160">
        <v>3.0</v>
      </c>
      <c r="B36" s="160"/>
      <c r="C36" s="160"/>
      <c r="D36" s="160"/>
      <c r="E36" s="161"/>
      <c r="F36" s="157"/>
      <c r="G36" s="157"/>
      <c r="H36" s="156"/>
      <c r="I36" s="156"/>
      <c r="J36" s="156"/>
      <c r="K36" s="156"/>
      <c r="L36" s="156"/>
      <c r="M36" s="156"/>
      <c r="N36" s="156"/>
      <c r="O36" s="160">
        <v>30.0</v>
      </c>
      <c r="P36" s="165">
        <f>'DAILY REGESTER'!A33</f>
        <v>45899.0</v>
      </c>
      <c r="Q36" s="166">
        <f>'ASTMITED BILL'!P32</f>
        <v>0.0</v>
      </c>
      <c r="R36" s="167">
        <f>'ASTMITED BILL'!Q32</f>
        <v>0.0</v>
      </c>
      <c r="S36" s="162">
        <f>'ASTMITED BILL'!R32</f>
        <v>30.0</v>
      </c>
      <c r="T36" s="162">
        <f>'ASTMITED BILL'!S32</f>
        <v>0.0</v>
      </c>
      <c r="U36" s="167">
        <f t="shared" si="3"/>
        <v>0.0</v>
      </c>
      <c r="V36" s="167">
        <f t="shared" si="4"/>
        <v>0.0</v>
      </c>
      <c r="W36" s="156"/>
      <c r="X36" s="196" t="s">
        <v>68</v>
      </c>
      <c r="Y36" s="197">
        <f>E24</f>
        <v>1784.0</v>
      </c>
      <c r="Z36" s="197"/>
      <c r="AA36" s="195"/>
      <c r="AB36" s="156"/>
      <c r="AC36" s="156"/>
    </row>
    <row r="37" spans="8:8">
      <c r="A37" s="160">
        <v>4.0</v>
      </c>
      <c r="B37" s="192" t="s">
        <v>35</v>
      </c>
      <c r="C37" s="192"/>
      <c r="D37" s="192"/>
      <c r="E37" s="169">
        <f>SUM(E34:E35)</f>
        <v>659.3499999999985</v>
      </c>
      <c r="F37" s="157"/>
      <c r="G37" s="157"/>
      <c r="H37" s="156"/>
      <c r="I37" s="156"/>
      <c r="J37" s="156"/>
      <c r="K37" s="156"/>
      <c r="L37" s="156"/>
      <c r="M37" s="156"/>
      <c r="N37" s="156"/>
      <c r="O37" s="160">
        <v>31.0</v>
      </c>
      <c r="P37" s="165">
        <f>'DAILY REGESTER'!A34</f>
        <v>45900.0</v>
      </c>
      <c r="Q37" s="166">
        <f>'ASTMITED BILL'!P33</f>
        <v>0.0</v>
      </c>
      <c r="R37" s="167">
        <f>'ASTMITED BILL'!Q33</f>
        <v>0.0</v>
      </c>
      <c r="S37" s="162">
        <f>'ASTMITED BILL'!R33</f>
        <v>30.0</v>
      </c>
      <c r="T37" s="162">
        <f>'ASTMITED BILL'!S33</f>
        <v>0.0</v>
      </c>
      <c r="U37" s="167">
        <f t="shared" si="3"/>
        <v>0.0</v>
      </c>
      <c r="V37" s="167">
        <f t="shared" si="4"/>
        <v>0.0</v>
      </c>
      <c r="W37" s="156"/>
      <c r="X37" s="196" t="s">
        <v>69</v>
      </c>
      <c r="Y37" s="197">
        <f>E31</f>
        <v>839.65</v>
      </c>
      <c r="Z37" s="197"/>
      <c r="AA37" s="198"/>
      <c r="AB37" s="156"/>
      <c r="AC37" s="156"/>
    </row>
    <row r="38" spans="8:8" ht="26.25" customHeight="1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7">
        <v>32.0</v>
      </c>
      <c r="P38" s="199" t="str">
        <f>'DAILY REGESTER'!A35</f>
        <v>कुल योग </v>
      </c>
      <c r="Q38" s="157"/>
      <c r="R38" s="213">
        <f>SUM(R5:R37)</f>
        <v>210.70000000000002</v>
      </c>
      <c r="S38" s="214"/>
      <c r="T38" s="213">
        <f>SUM(T5:T37)</f>
        <v>6561.5</v>
      </c>
      <c r="U38" s="200"/>
      <c r="V38" s="200"/>
      <c r="W38" s="156"/>
      <c r="X38" s="196" t="s">
        <v>35</v>
      </c>
      <c r="Y38" s="197">
        <f>SUM(Y33:Z37)</f>
        <v>25836.65</v>
      </c>
      <c r="Z38" s="197"/>
      <c r="AA38" s="195"/>
      <c r="AB38" s="156"/>
      <c r="AC38" s="156"/>
    </row>
  </sheetData>
  <mergeCells count="34">
    <mergeCell ref="B37:D37"/>
    <mergeCell ref="X24:Y24"/>
    <mergeCell ref="X27:Z27"/>
    <mergeCell ref="O2:V2"/>
    <mergeCell ref="O3:V3"/>
    <mergeCell ref="A3:G3"/>
    <mergeCell ref="Y16:Z16"/>
    <mergeCell ref="A32:E32"/>
    <mergeCell ref="Y37:Z37"/>
    <mergeCell ref="Y36:Z36"/>
    <mergeCell ref="Y35:Z35"/>
    <mergeCell ref="Y34:Z34"/>
    <mergeCell ref="Y33:Z33"/>
    <mergeCell ref="A26:E26"/>
    <mergeCell ref="Y20:Z20"/>
    <mergeCell ref="X22:Z22"/>
    <mergeCell ref="B31:D31"/>
    <mergeCell ref="Y38:Z38"/>
    <mergeCell ref="B24:D24"/>
    <mergeCell ref="X30:Y30"/>
    <mergeCell ref="Y17:Z17"/>
    <mergeCell ref="A19:E19"/>
    <mergeCell ref="X32:Z32"/>
    <mergeCell ref="X13:Z13"/>
    <mergeCell ref="Y14:Z14"/>
    <mergeCell ref="Y18:Z18"/>
    <mergeCell ref="X25:Y25"/>
    <mergeCell ref="X23:Y23"/>
    <mergeCell ref="Y19:Z19"/>
    <mergeCell ref="Y15:Z15"/>
    <mergeCell ref="X3:AC3"/>
    <mergeCell ref="X29:Y29"/>
    <mergeCell ref="Y12:AB12"/>
    <mergeCell ref="X28:Y28"/>
  </mergeCells>
  <conditionalFormatting sqref="X30:Z30">
    <cfRule type="expression" priority="2" dxfId="6">
      <formula>$Z$25&lt;0</formula>
    </cfRule>
    <cfRule type="expression" priority="1" dxfId="7">
      <formula>$Z$25&gt;0</formula>
    </cfRule>
  </conditionalFormatting>
  <conditionalFormatting sqref="X25:Z25">
    <cfRule type="expression" priority="4" dxfId="8">
      <formula>$Z$25&lt;0</formula>
    </cfRule>
    <cfRule type="expression" priority="3" dxfId="9">
      <formula>$Z$25&gt;0</formula>
    </cfRule>
  </conditionalFormatting>
  <printOptions horizontalCentered="1"/>
  <pageMargins left="0.25" right="0.25" top="0.75" bottom="0.75" header="0.3" footer="0.3"/>
  <pageSetup paperSize="9" scale="110"/>
  <drawing r:id="rId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</dc:creator>
  <cp:lastModifiedBy>abc</cp:lastModifiedBy>
  <dcterms:created xsi:type="dcterms:W3CDTF">2024-09-23T22:13:27Z</dcterms:created>
  <dcterms:modified xsi:type="dcterms:W3CDTF">2026-08-31T15:01:39Z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1e3bf8dd0ad3451580c286ab49978329</vt:lpwstr>
  </property>
</Properties>
</file>