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Income Tax &amp; Other Excel Software 2024-25\"/>
    </mc:Choice>
  </mc:AlternateContent>
  <xr:revisionPtr revIDLastSave="0" documentId="13_ncr:1_{15ACE72F-4A3F-4F68-BBBB-899C88DC8466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Salary" sheetId="2" r:id="rId1"/>
    <sheet name="Other Deduction" sheetId="1" r:id="rId2"/>
    <sheet name="Tax Old Regime" sheetId="3" r:id="rId3"/>
    <sheet name="Tax New Regime" sheetId="4" r:id="rId4"/>
  </sheet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Salary!$C$15:$AA$49</definedName>
    <definedName name="_xlnm.Print_Area" localSheetId="3">'Tax New Regime'!$A$1:$P$67</definedName>
    <definedName name="_xlnm.Print_Area" localSheetId="2">'Tax Old Regime'!$A$1:$P$64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1" hidden="1">'Other Deduction'!$G:$XFD</definedName>
    <definedName name="Z_01E6FF9C_BB30_4C32_9D09_6DB93F11503E_.wvu.Cols" localSheetId="0" hidden="1">Salary!$AB:$XFD</definedName>
    <definedName name="Z_01E6FF9C_BB30_4C32_9D09_6DB93F11503E_.wvu.Cols" localSheetId="3" hidden="1">'Tax New Regime'!$R:$XFD</definedName>
    <definedName name="Z_01E6FF9C_BB30_4C32_9D09_6DB93F11503E_.wvu.Cols" localSheetId="2" hidden="1">'Tax Old Regime'!$R:$XFD</definedName>
    <definedName name="Z_01E6FF9C_BB30_4C32_9D09_6DB93F11503E_.wvu.PrintArea" localSheetId="0" hidden="1">Salary!$C$15:$AA$47</definedName>
    <definedName name="Z_01E6FF9C_BB30_4C32_9D09_6DB93F11503E_.wvu.PrintArea" localSheetId="3" hidden="1">'Tax New Regime'!$A$1:$P$71</definedName>
    <definedName name="Z_01E6FF9C_BB30_4C32_9D09_6DB93F11503E_.wvu.PrintArea" localSheetId="2" hidden="1">'Tax Old Regime'!$A$1:$P$68</definedName>
    <definedName name="Z_01E6FF9C_BB30_4C32_9D09_6DB93F11503E_.wvu.Rows" localSheetId="1" hidden="1">'Other Deduction'!$560:$1048576,'Other Deduction'!$22:$559</definedName>
    <definedName name="Z_01E6FF9C_BB30_4C32_9D09_6DB93F11503E_.wvu.Rows" localSheetId="0" hidden="1">Salary!$960:$1048576,Salary!$48:$959</definedName>
    <definedName name="Z_01E6FF9C_BB30_4C32_9D09_6DB93F11503E_.wvu.Rows" localSheetId="3" hidden="1">'Tax New Regime'!$77:$1048576,'Tax New Regime'!$73:$76</definedName>
    <definedName name="Z_01E6FF9C_BB30_4C32_9D09_6DB93F11503E_.wvu.Rows" localSheetId="2" hidden="1">'Tax Old Regime'!$74:$1048576,'Tax Old Regime'!$70:$73</definedName>
    <definedName name="Z_483AFC7C_A53B_4837_A853_31CBC6C9ED1B_.wvu.Cols" localSheetId="1" hidden="1">'Other Deduction'!$G:$XFD</definedName>
    <definedName name="Z_483AFC7C_A53B_4837_A853_31CBC6C9ED1B_.wvu.Cols" localSheetId="0" hidden="1">Salary!$AB:$XFD</definedName>
    <definedName name="Z_483AFC7C_A53B_4837_A853_31CBC6C9ED1B_.wvu.Cols" localSheetId="3" hidden="1">'Tax New Regime'!$R:$XFD</definedName>
    <definedName name="Z_483AFC7C_A53B_4837_A853_31CBC6C9ED1B_.wvu.Cols" localSheetId="2" hidden="1">'Tax Old Regime'!$R:$XFD</definedName>
    <definedName name="Z_483AFC7C_A53B_4837_A853_31CBC6C9ED1B_.wvu.PrintArea" localSheetId="0" hidden="1">Salary!$C$15:$AA$47</definedName>
    <definedName name="Z_483AFC7C_A53B_4837_A853_31CBC6C9ED1B_.wvu.PrintArea" localSheetId="3" hidden="1">'Tax New Regime'!$A$1:$P$71</definedName>
    <definedName name="Z_483AFC7C_A53B_4837_A853_31CBC6C9ED1B_.wvu.PrintArea" localSheetId="2" hidden="1">'Tax Old Regime'!$A$1:$P$68</definedName>
    <definedName name="Z_483AFC7C_A53B_4837_A853_31CBC6C9ED1B_.wvu.Rows" localSheetId="1" hidden="1">'Other Deduction'!$560:$1048576,'Other Deduction'!$22:$559</definedName>
    <definedName name="Z_483AFC7C_A53B_4837_A853_31CBC6C9ED1B_.wvu.Rows" localSheetId="0" hidden="1">Salary!$960:$1048576,Salary!$48:$959</definedName>
    <definedName name="Z_483AFC7C_A53B_4837_A853_31CBC6C9ED1B_.wvu.Rows" localSheetId="3" hidden="1">'Tax New Regime'!$77:$1048576,'Tax New Regime'!$73:$76</definedName>
    <definedName name="Z_483AFC7C_A53B_4837_A853_31CBC6C9ED1B_.wvu.Rows" localSheetId="2" hidden="1">'Tax Old Regime'!$74:$1048576,'Tax Old Regime'!$70:$73</definedName>
  </definedNames>
  <calcPr calcId="191029"/>
  <customWorkbookViews>
    <customWorkbookView name="x - Personal View" guid="{483AFC7C-A53B-4837-A853-31CBC6C9ED1B}" mergeInterval="0" personalView="1" maximized="1" xWindow="1" yWindow="1" windowWidth="800" windowHeight="382" activeSheetId="1"/>
    <customWorkbookView name="Kalu Ram Kumawat - Personal View" guid="{01E6FF9C-BB30-4C32-9D09-6DB93F11503E}" mergeInterval="0" personalView="1" maximized="1" xWindow="1" yWindow="1" windowWidth="1024" windowHeight="547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57" i="4" l="1"/>
  <c r="P58" i="4" s="1"/>
  <c r="P55" i="4"/>
  <c r="P54" i="4"/>
  <c r="P53" i="4"/>
  <c r="P52" i="4"/>
  <c r="P51" i="4"/>
  <c r="P50" i="4"/>
  <c r="H35" i="2"/>
  <c r="H23" i="2"/>
  <c r="Y37" i="2" l="1"/>
  <c r="P41" i="3" l="1"/>
  <c r="O22" i="2" l="1"/>
  <c r="D37" i="2"/>
  <c r="N64" i="4" l="1"/>
  <c r="P61" i="4"/>
  <c r="N27" i="4"/>
  <c r="H27" i="4"/>
  <c r="N26" i="4"/>
  <c r="N25" i="4"/>
  <c r="N24" i="4"/>
  <c r="H24" i="4"/>
  <c r="N23" i="4"/>
  <c r="H23" i="4"/>
  <c r="N22" i="4"/>
  <c r="H22" i="4"/>
  <c r="N21" i="4"/>
  <c r="N20" i="4"/>
  <c r="P16" i="4"/>
  <c r="J13" i="4"/>
  <c r="L11" i="4"/>
  <c r="D13" i="4" s="1"/>
  <c r="L8" i="4"/>
  <c r="L7" i="4"/>
  <c r="O3" i="4"/>
  <c r="K3" i="4"/>
  <c r="D3" i="4"/>
  <c r="A1" i="4"/>
  <c r="O10" i="2"/>
  <c r="O11" i="2"/>
  <c r="O12" i="2"/>
  <c r="O9" i="2"/>
  <c r="O4" i="2"/>
  <c r="O5" i="2"/>
  <c r="O6" i="2"/>
  <c r="O3" i="2"/>
  <c r="H24" i="3"/>
  <c r="A2" i="1"/>
  <c r="P32" i="3"/>
  <c r="P35" i="2" l="1"/>
  <c r="O35" i="2"/>
  <c r="Y35" i="2" s="1"/>
  <c r="O23" i="2"/>
  <c r="Y23" i="2" s="1"/>
  <c r="P23" i="2"/>
  <c r="P9" i="4"/>
  <c r="L8" i="3"/>
  <c r="O3" i="3" l="1"/>
  <c r="K3" i="3"/>
  <c r="D3" i="3"/>
  <c r="N38" i="2" l="1"/>
  <c r="Y38" i="2"/>
  <c r="Y39" i="2"/>
  <c r="Y40" i="2"/>
  <c r="Y41" i="2"/>
  <c r="N37" i="2"/>
  <c r="X3" i="2" l="1"/>
  <c r="X4" i="2"/>
  <c r="X5" i="2"/>
  <c r="X6" i="2"/>
  <c r="X7" i="2"/>
  <c r="X8" i="2"/>
  <c r="X9" i="2"/>
  <c r="X10" i="2"/>
  <c r="X11" i="2"/>
  <c r="X12" i="2"/>
  <c r="X13" i="2"/>
  <c r="X2" i="2"/>
  <c r="I23" i="2" l="1"/>
  <c r="I24" i="2" s="1"/>
  <c r="I25" i="2" s="1"/>
  <c r="I26" i="2" s="1"/>
  <c r="I27" i="2" s="1"/>
  <c r="I28" i="2" s="1"/>
  <c r="I29" i="2" s="1"/>
  <c r="I30" i="2" s="1"/>
  <c r="I31" i="2" s="1"/>
  <c r="I32" i="2" s="1"/>
  <c r="I33" i="2" s="1"/>
  <c r="I34" i="2" s="1"/>
  <c r="N21" i="3" l="1"/>
  <c r="N25" i="3"/>
  <c r="N27" i="3"/>
  <c r="N26" i="3"/>
  <c r="N24" i="3"/>
  <c r="N23" i="3"/>
  <c r="N22" i="3"/>
  <c r="N20" i="3"/>
  <c r="N39" i="2"/>
  <c r="N40" i="2"/>
  <c r="N41" i="2"/>
  <c r="P58" i="3" l="1"/>
  <c r="P39" i="3"/>
  <c r="P38" i="3"/>
  <c r="P37" i="3"/>
  <c r="P36" i="3"/>
  <c r="P35" i="3"/>
  <c r="P42" i="3"/>
  <c r="P40" i="3"/>
  <c r="P16" i="3"/>
  <c r="D24" i="2"/>
  <c r="H24" i="2" s="1"/>
  <c r="X24" i="2"/>
  <c r="X25" i="2" s="1"/>
  <c r="X26" i="2" s="1"/>
  <c r="X27" i="2" s="1"/>
  <c r="X28" i="2" s="1"/>
  <c r="X29" i="2" s="1"/>
  <c r="X30" i="2" s="1"/>
  <c r="X31" i="2" s="1"/>
  <c r="J25" i="2"/>
  <c r="O24" i="2" l="1"/>
  <c r="N61" i="3"/>
  <c r="Z41" i="2"/>
  <c r="Z39" i="2"/>
  <c r="Z40" i="2"/>
  <c r="X42" i="2"/>
  <c r="T42" i="2"/>
  <c r="K24" i="2"/>
  <c r="K25" i="2" s="1"/>
  <c r="K26" i="2" s="1"/>
  <c r="K27" i="2" s="1"/>
  <c r="K28" i="2" s="1"/>
  <c r="K29" i="2" s="1"/>
  <c r="K30" i="2" s="1"/>
  <c r="K31" i="2" s="1"/>
  <c r="K32" i="2" s="1"/>
  <c r="K33" i="2" s="1"/>
  <c r="K34" i="2" s="1"/>
  <c r="P24" i="2" l="1"/>
  <c r="K42" i="2"/>
  <c r="V24" i="2"/>
  <c r="U24" i="2"/>
  <c r="Z37" i="2" l="1"/>
  <c r="Q24" i="2" l="1"/>
  <c r="V25" i="2"/>
  <c r="U25" i="2"/>
  <c r="S24" i="2"/>
  <c r="R24" i="2"/>
  <c r="L7" i="3"/>
  <c r="H27" i="3"/>
  <c r="H23" i="3"/>
  <c r="H22" i="3"/>
  <c r="J13" i="3"/>
  <c r="L11" i="3"/>
  <c r="D13" i="3" s="1"/>
  <c r="P5" i="3"/>
  <c r="A1" i="3"/>
  <c r="J26" i="2"/>
  <c r="J27" i="2" s="1"/>
  <c r="J28" i="2" s="1"/>
  <c r="J29" i="2" s="1"/>
  <c r="J30" i="2" s="1"/>
  <c r="J31" i="2" s="1"/>
  <c r="J32" i="2" s="1"/>
  <c r="J33" i="2" s="1"/>
  <c r="J34" i="2" s="1"/>
  <c r="J24" i="2"/>
  <c r="M24" i="2"/>
  <c r="L24" i="2"/>
  <c r="G24" i="2"/>
  <c r="F24" i="2"/>
  <c r="E24" i="2"/>
  <c r="E25" i="2"/>
  <c r="E26" i="2"/>
  <c r="E27" i="2"/>
  <c r="E28" i="2"/>
  <c r="E29" i="2"/>
  <c r="E30" i="2"/>
  <c r="E31" i="2"/>
  <c r="E32" i="2"/>
  <c r="E33" i="2"/>
  <c r="E34" i="2"/>
  <c r="J42" i="2" l="1"/>
  <c r="G25" i="2"/>
  <c r="G26" i="2" s="1"/>
  <c r="G27" i="2" s="1"/>
  <c r="G28" i="2" s="1"/>
  <c r="G29" i="2" s="1"/>
  <c r="G30" i="2" s="1"/>
  <c r="G31" i="2" s="1"/>
  <c r="G32" i="2" s="1"/>
  <c r="G33" i="2" s="1"/>
  <c r="G34" i="2" s="1"/>
  <c r="R25" i="2"/>
  <c r="R26" i="2" s="1"/>
  <c r="R27" i="2" s="1"/>
  <c r="R28" i="2" s="1"/>
  <c r="R29" i="2" s="1"/>
  <c r="R30" i="2" s="1"/>
  <c r="R31" i="2" s="1"/>
  <c r="R32" i="2" s="1"/>
  <c r="R33" i="2" s="1"/>
  <c r="R34" i="2" s="1"/>
  <c r="Q25" i="2"/>
  <c r="Q26" i="2" s="1"/>
  <c r="Q27" i="2" s="1"/>
  <c r="Q28" i="2" s="1"/>
  <c r="Q29" i="2" s="1"/>
  <c r="Q30" i="2" s="1"/>
  <c r="Q31" i="2" s="1"/>
  <c r="Q32" i="2" s="1"/>
  <c r="Q33" i="2" s="1"/>
  <c r="Q34" i="2" s="1"/>
  <c r="E42" i="2"/>
  <c r="F25" i="2"/>
  <c r="F26" i="2" s="1"/>
  <c r="F27" i="2" s="1"/>
  <c r="F28" i="2" s="1"/>
  <c r="F29" i="2" s="1"/>
  <c r="F30" i="2" s="1"/>
  <c r="F31" i="2" s="1"/>
  <c r="F32" i="2" s="1"/>
  <c r="F33" i="2" s="1"/>
  <c r="F34" i="2" s="1"/>
  <c r="L25" i="2"/>
  <c r="L26" i="2" s="1"/>
  <c r="L27" i="2" s="1"/>
  <c r="L28" i="2" s="1"/>
  <c r="L29" i="2" s="1"/>
  <c r="L30" i="2" s="1"/>
  <c r="L31" i="2" s="1"/>
  <c r="L32" i="2" s="1"/>
  <c r="L33" i="2" s="1"/>
  <c r="L34" i="2" s="1"/>
  <c r="S25" i="2"/>
  <c r="S26" i="2" s="1"/>
  <c r="S27" i="2" s="1"/>
  <c r="S28" i="2" s="1"/>
  <c r="S29" i="2" s="1"/>
  <c r="S30" i="2" s="1"/>
  <c r="S31" i="2" s="1"/>
  <c r="S32" i="2" s="1"/>
  <c r="S33" i="2" s="1"/>
  <c r="S34" i="2" s="1"/>
  <c r="D25" i="2"/>
  <c r="H25" i="2" s="1"/>
  <c r="P43" i="3"/>
  <c r="Z38" i="2"/>
  <c r="V26" i="2"/>
  <c r="V27" i="2" s="1"/>
  <c r="V28" i="2" s="1"/>
  <c r="V29" i="2" s="1"/>
  <c r="V30" i="2" s="1"/>
  <c r="V31" i="2" s="1"/>
  <c r="V32" i="2" s="1"/>
  <c r="V33" i="2" s="1"/>
  <c r="V34" i="2" s="1"/>
  <c r="U26" i="2"/>
  <c r="U27" i="2" s="1"/>
  <c r="U28" i="2" s="1"/>
  <c r="U29" i="2" s="1"/>
  <c r="U30" i="2" s="1"/>
  <c r="U31" i="2" s="1"/>
  <c r="U32" i="2" s="1"/>
  <c r="U33" i="2" s="1"/>
  <c r="U34" i="2" s="1"/>
  <c r="N23" i="2"/>
  <c r="M25" i="2"/>
  <c r="M26" i="2" s="1"/>
  <c r="M27" i="2" s="1"/>
  <c r="M28" i="2" s="1"/>
  <c r="M29" i="2" s="1"/>
  <c r="M30" i="2" s="1"/>
  <c r="M31" i="2" s="1"/>
  <c r="M32" i="2" s="1"/>
  <c r="M33" i="2" s="1"/>
  <c r="M34" i="2" s="1"/>
  <c r="Q42" i="2" l="1"/>
  <c r="O25" i="2"/>
  <c r="W24" i="2"/>
  <c r="Y24" i="2" s="1"/>
  <c r="L42" i="2"/>
  <c r="F42" i="2"/>
  <c r="R42" i="2"/>
  <c r="S42" i="2"/>
  <c r="D26" i="2"/>
  <c r="H26" i="2" s="1"/>
  <c r="U42" i="2"/>
  <c r="H28" i="4" s="1"/>
  <c r="N24" i="2"/>
  <c r="V42" i="2"/>
  <c r="M42" i="2"/>
  <c r="G42" i="2"/>
  <c r="D27" i="2" l="1"/>
  <c r="P25" i="2"/>
  <c r="O26" i="2"/>
  <c r="H21" i="3"/>
  <c r="H21" i="4"/>
  <c r="G13" i="3"/>
  <c r="L13" i="3" s="1"/>
  <c r="P14" i="3" s="1"/>
  <c r="G13" i="4"/>
  <c r="L13" i="4" s="1"/>
  <c r="H26" i="3"/>
  <c r="H26" i="4"/>
  <c r="Z24" i="2"/>
  <c r="W25" i="2"/>
  <c r="W26" i="2" s="1"/>
  <c r="H28" i="3"/>
  <c r="N25" i="2"/>
  <c r="Y26" i="2" l="1"/>
  <c r="H36" i="2"/>
  <c r="H27" i="2"/>
  <c r="O36" i="2"/>
  <c r="Y36" i="2" s="1"/>
  <c r="Y25" i="2"/>
  <c r="Z25" i="2" s="1"/>
  <c r="P26" i="2"/>
  <c r="O27" i="2"/>
  <c r="W27" i="2"/>
  <c r="N35" i="2"/>
  <c r="N26" i="2"/>
  <c r="D28" i="2"/>
  <c r="H28" i="2" s="1"/>
  <c r="Y27" i="2" l="1"/>
  <c r="P27" i="2"/>
  <c r="N36" i="2"/>
  <c r="P36" i="2"/>
  <c r="O28" i="2"/>
  <c r="Y28" i="2" s="1"/>
  <c r="W28" i="2"/>
  <c r="N27" i="2"/>
  <c r="Z26" i="2"/>
  <c r="D29" i="2"/>
  <c r="H29" i="2" s="1"/>
  <c r="P28" i="2" l="1"/>
  <c r="O29" i="2"/>
  <c r="Y29" i="2" s="1"/>
  <c r="W29" i="2"/>
  <c r="E64" i="4" s="1"/>
  <c r="N28" i="2"/>
  <c r="Z27" i="2"/>
  <c r="D30" i="2"/>
  <c r="H30" i="2" s="1"/>
  <c r="P29" i="2" l="1"/>
  <c r="O30" i="2"/>
  <c r="W30" i="2"/>
  <c r="E61" i="3"/>
  <c r="Z28" i="2"/>
  <c r="N29" i="2"/>
  <c r="D31" i="2"/>
  <c r="H31" i="2" s="1"/>
  <c r="Y30" i="2" l="1"/>
  <c r="P30" i="2"/>
  <c r="O31" i="2"/>
  <c r="W31" i="2"/>
  <c r="N30" i="2"/>
  <c r="Z29" i="2"/>
  <c r="Z23" i="2"/>
  <c r="D32" i="2"/>
  <c r="H32" i="2" s="1"/>
  <c r="Y31" i="2" l="1"/>
  <c r="D33" i="2"/>
  <c r="H33" i="2" s="1"/>
  <c r="P31" i="2"/>
  <c r="O32" i="2"/>
  <c r="W32" i="2"/>
  <c r="I64" i="4" s="1"/>
  <c r="Z30" i="2"/>
  <c r="N31" i="2"/>
  <c r="Y32" i="2" l="1"/>
  <c r="P32" i="2"/>
  <c r="O33" i="2"/>
  <c r="Y33" i="2" s="1"/>
  <c r="W33" i="2"/>
  <c r="K64" i="4" s="1"/>
  <c r="I61" i="3"/>
  <c r="Z31" i="2"/>
  <c r="Z36" i="2"/>
  <c r="N32" i="2"/>
  <c r="D34" i="2"/>
  <c r="H34" i="2" s="1"/>
  <c r="P33" i="2" l="1"/>
  <c r="O34" i="2"/>
  <c r="Y34" i="2" s="1"/>
  <c r="W34" i="2"/>
  <c r="L64" i="4" s="1"/>
  <c r="O64" i="4" s="1"/>
  <c r="K61" i="3"/>
  <c r="I42" i="2"/>
  <c r="F19" i="1" s="1"/>
  <c r="Z32" i="2"/>
  <c r="N33" i="2"/>
  <c r="D42" i="2"/>
  <c r="P34" i="2" l="1"/>
  <c r="P42" i="2" s="1"/>
  <c r="Y42" i="2"/>
  <c r="W42" i="2"/>
  <c r="F8" i="1" s="1"/>
  <c r="L61" i="3"/>
  <c r="O61" i="3" s="1"/>
  <c r="H42" i="2"/>
  <c r="F4" i="1" s="1"/>
  <c r="Z33" i="2"/>
  <c r="P31" i="3" l="1"/>
  <c r="P31" i="4"/>
  <c r="N34" i="2"/>
  <c r="Z34" i="2" l="1"/>
  <c r="N42" i="2"/>
  <c r="P4" i="3" l="1"/>
  <c r="P4" i="4"/>
  <c r="F17" i="1"/>
  <c r="Z35" i="2" l="1"/>
  <c r="Z42" i="2" s="1"/>
  <c r="O42" i="2"/>
  <c r="H25" i="4" l="1"/>
  <c r="H25" i="3"/>
  <c r="P6" i="4"/>
  <c r="H20" i="4"/>
  <c r="P6" i="3"/>
  <c r="L9" i="3" s="1"/>
  <c r="H20" i="3"/>
  <c r="P10" i="4" l="1"/>
  <c r="P15" i="4" s="1"/>
  <c r="P17" i="4" s="1"/>
  <c r="N29" i="4"/>
  <c r="P33" i="4"/>
  <c r="P44" i="4" s="1"/>
  <c r="N29" i="3"/>
  <c r="P30" i="3" s="1"/>
  <c r="P9" i="3"/>
  <c r="P10" i="3" s="1"/>
  <c r="P15" i="3" s="1"/>
  <c r="P17" i="3" s="1"/>
  <c r="P45" i="4" l="1"/>
  <c r="P46" i="4" s="1"/>
  <c r="P33" i="3"/>
  <c r="P44" i="3" s="1"/>
  <c r="P45" i="3" s="1"/>
  <c r="P46" i="3" s="1"/>
  <c r="P50" i="3" s="1"/>
  <c r="F12" i="1"/>
  <c r="A20" i="1"/>
  <c r="D20" i="1"/>
  <c r="F6" i="1" l="1"/>
  <c r="P52" i="3"/>
  <c r="P51" i="3"/>
  <c r="P56" i="4" l="1"/>
  <c r="P53" i="3"/>
  <c r="P54" i="3" s="1"/>
  <c r="P59" i="4" l="1"/>
  <c r="P60" i="4" s="1"/>
  <c r="P62" i="4" s="1"/>
  <c r="A65" i="4" s="1"/>
  <c r="P55" i="3"/>
  <c r="P56" i="3" s="1"/>
  <c r="P65" i="4" l="1"/>
  <c r="P57" i="3"/>
  <c r="P59" i="3" l="1"/>
  <c r="A62" i="3" l="1"/>
  <c r="A19" i="1" s="1"/>
  <c r="P62" i="3"/>
  <c r="D19" i="1" s="1"/>
</calcChain>
</file>

<file path=xl/sharedStrings.xml><?xml version="1.0" encoding="utf-8"?>
<sst xmlns="http://schemas.openxmlformats.org/spreadsheetml/2006/main" count="468" uniqueCount="227">
  <si>
    <t>PS Aarampura</t>
  </si>
  <si>
    <t>Basic Pay</t>
  </si>
  <si>
    <t>Dearness Pay</t>
  </si>
  <si>
    <t>UPS Pathraj Kala</t>
  </si>
  <si>
    <t>UPS Manda</t>
  </si>
  <si>
    <t>LIC</t>
  </si>
  <si>
    <t>UPS Ramsinghpura</t>
  </si>
  <si>
    <t>Month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</si>
  <si>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</si>
  <si>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</si>
  <si>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</si>
  <si>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</si>
  <si>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</si>
  <si>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</si>
  <si>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</si>
  <si>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</si>
  <si>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</si>
  <si>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PAN :</t>
  </si>
  <si>
    <t>Nil</t>
  </si>
  <si>
    <t>2,50,001-5,00,000</t>
  </si>
  <si>
    <t>5,00,001-10,00,000</t>
  </si>
  <si>
    <t>TOTAL</t>
  </si>
  <si>
    <t>Signature of Employee</t>
  </si>
  <si>
    <t>Signature of DDO</t>
  </si>
  <si>
    <t>Tax Deposited</t>
  </si>
  <si>
    <t>Bonus</t>
  </si>
  <si>
    <t>Fixation Arrear</t>
  </si>
  <si>
    <t>Income Tax / TDS</t>
  </si>
  <si>
    <t>Leave  Pay</t>
  </si>
  <si>
    <t xml:space="preserve">Other </t>
  </si>
  <si>
    <t>HBA Interest</t>
  </si>
  <si>
    <t>HBA Premium</t>
  </si>
  <si>
    <t>Total
Deduction</t>
  </si>
  <si>
    <t>Gross  Salary</t>
  </si>
  <si>
    <t>Washing Allow.</t>
  </si>
  <si>
    <t>3,00,001-5,00,000</t>
  </si>
  <si>
    <t>Rebate Under Section
80C, 80CCC, 80CCD(1)</t>
  </si>
  <si>
    <t>Group Insurance  
Accidental</t>
  </si>
  <si>
    <t>No</t>
  </si>
  <si>
    <t>Other Allowance 2</t>
  </si>
  <si>
    <t>HRA</t>
  </si>
  <si>
    <t>Salary Arrear 1</t>
  </si>
  <si>
    <t>Salary Arrear 2</t>
  </si>
  <si>
    <t>A/C NO.</t>
  </si>
  <si>
    <t>BASIC+D.A.</t>
  </si>
  <si>
    <t>Bill No. &amp; T.V. No.</t>
  </si>
  <si>
    <t>Yes</t>
  </si>
  <si>
    <t>Total</t>
  </si>
  <si>
    <t>Designation</t>
  </si>
  <si>
    <t>EMPLOYEE ID</t>
  </si>
  <si>
    <t>PAN NO.</t>
  </si>
  <si>
    <t>EMPLOYEE NAME</t>
  </si>
  <si>
    <t>FAHER'S NAME</t>
  </si>
  <si>
    <t>DATE OF BIRTH</t>
  </si>
  <si>
    <t>ADHAR NO.</t>
  </si>
  <si>
    <t>SEX</t>
  </si>
  <si>
    <t>BANK NAME</t>
  </si>
  <si>
    <t>MOBILE NO.</t>
  </si>
  <si>
    <t>BRANCH NAME</t>
  </si>
  <si>
    <t>IFSC CODE</t>
  </si>
  <si>
    <t>BLOCK</t>
  </si>
  <si>
    <t>DESIGNATION</t>
  </si>
  <si>
    <t>C.C.A.</t>
  </si>
  <si>
    <t>RECEIPTS</t>
  </si>
  <si>
    <t>DEDUCTIONS</t>
  </si>
  <si>
    <t>URBAN</t>
  </si>
  <si>
    <t>RURAL</t>
  </si>
  <si>
    <t>G PAY</t>
  </si>
  <si>
    <t>GIS</t>
  </si>
  <si>
    <t>Handicap Allow</t>
  </si>
  <si>
    <t>Other Deduction</t>
  </si>
  <si>
    <t>Net Cash Payment</t>
  </si>
  <si>
    <t>LIC - Life Insurance</t>
  </si>
  <si>
    <t>NSC - National Savings Certificate</t>
  </si>
  <si>
    <t>Group Insurance</t>
  </si>
  <si>
    <t>ULIP / Annual Plan</t>
  </si>
  <si>
    <t>Contribution to Pension Plan (80CCC)</t>
  </si>
  <si>
    <t>Rs</t>
  </si>
  <si>
    <t>Interest paid on National Savings Certificate</t>
  </si>
  <si>
    <t>Tution Fees</t>
  </si>
  <si>
    <t>Equity Linked Savings Scheme</t>
  </si>
  <si>
    <t>Defferred Annuty</t>
  </si>
  <si>
    <t>PLI</t>
  </si>
  <si>
    <t>Other Deductions - (80C)</t>
  </si>
  <si>
    <t>Sukanya Samriddhi Yojana</t>
  </si>
  <si>
    <t>PPF -Public Provident Fund</t>
  </si>
  <si>
    <t>NSS -National Savings Scheme</t>
  </si>
  <si>
    <t>Maximum Deduction Amount Up to Rs 1.50 lakh</t>
  </si>
  <si>
    <t xml:space="preserve">Total (1 To 18)  </t>
  </si>
  <si>
    <t>Name</t>
  </si>
  <si>
    <t>Parmanand Meghwal</t>
  </si>
  <si>
    <t>TEACHER</t>
  </si>
  <si>
    <t>MALE</t>
  </si>
  <si>
    <t>Total Income from Salary With NPS</t>
  </si>
  <si>
    <t>House Rent, Under Section 10(13-A) and other Allowances Under Section 10(14) which are Exempt from tax.</t>
  </si>
  <si>
    <t xml:space="preserve">                                                           Remanent (4-5)</t>
  </si>
  <si>
    <t>(A) Income from House Property: (1) In Own Use - Nil</t>
  </si>
  <si>
    <t>(2) Rent Received is Rs.</t>
  </si>
  <si>
    <r>
      <t xml:space="preserve">Rent of </t>
    </r>
    <r>
      <rPr>
        <sz val="10"/>
        <rFont val="Calibri"/>
        <family val="2"/>
        <scheme val="minor"/>
      </rPr>
      <t>30%</t>
    </r>
  </si>
  <si>
    <t>(B) Subtract</t>
  </si>
  <si>
    <t>Interest of House Loan</t>
  </si>
  <si>
    <r>
      <rPr>
        <sz val="12"/>
        <rFont val="Calibri"/>
        <family val="2"/>
        <scheme val="minor"/>
      </rPr>
      <t>(i)   Entertainment Allowance 16(II) (Maximum limit Rs.5000)</t>
    </r>
    <r>
      <rPr>
        <sz val="12"/>
        <rFont val="DevLys 010"/>
      </rPr>
      <t xml:space="preserve">  </t>
    </r>
  </si>
  <si>
    <t>(ii)  Expenditure tax under section 16(III)</t>
  </si>
  <si>
    <t xml:space="preserve">(iii) Standard Deduction (Maximum limit Rs.50000)  </t>
  </si>
  <si>
    <t>House Tax</t>
  </si>
  <si>
    <t>Remainder -/+ (sum of 7(A) and 7(B)</t>
  </si>
  <si>
    <t>Total Balance -/+ (6 &amp; 7)</t>
  </si>
  <si>
    <t>Other Income</t>
  </si>
  <si>
    <t>Gross Income (8+9)</t>
  </si>
  <si>
    <t>Deduct Deduction Under Section US  - 80C, 80CCC,80CCD (1)</t>
  </si>
  <si>
    <t>Other Deductions</t>
  </si>
  <si>
    <t>1. Section 80D Medical Insurance Premium (Rs. 25000 for Self, Spouse and Children, Rs. 25000 for Parents, Rs. 50000 for Senior Citizen)</t>
  </si>
  <si>
    <t>Grand Total (1 to 8)</t>
  </si>
  <si>
    <r>
      <t xml:space="preserve">Total Deductions </t>
    </r>
    <r>
      <rPr>
        <b/>
        <sz val="10"/>
        <rFont val="Calibri"/>
        <family val="2"/>
        <scheme val="minor"/>
      </rPr>
      <t>( 11 + 12)</t>
    </r>
  </si>
  <si>
    <t>Taxable Income (10-13)</t>
  </si>
  <si>
    <r>
      <t xml:space="preserve">Rounding off the Amount of total Income (in Multiples of Ten) Section </t>
    </r>
    <r>
      <rPr>
        <b/>
        <sz val="11"/>
        <rFont val="Calibri"/>
        <family val="2"/>
        <scheme val="minor"/>
      </rPr>
      <t>288A</t>
    </r>
  </si>
  <si>
    <t>Calculation of income tax on the basis of column 15 above</t>
  </si>
  <si>
    <t>Senior Citizen (60 to 80 years)</t>
  </si>
  <si>
    <t>One Person Tax Payer</t>
  </si>
  <si>
    <t>80 years of age or Older</t>
  </si>
  <si>
    <t>Up to 2,50,000</t>
  </si>
  <si>
    <t>Up to 5,00,000</t>
  </si>
  <si>
    <t>Up to 3,00,000</t>
  </si>
  <si>
    <t xml:space="preserve">More Than 10,00,000 </t>
  </si>
  <si>
    <t>More Than 10,00,000</t>
  </si>
  <si>
    <t xml:space="preserve">(1) Total Incometax </t>
  </si>
  <si>
    <t>(2) Exemption section 87(I) (exemption of income tax on taxable income of Rs.2.50 lakh to Rs.5.00 lakh subject to a maximum of Rs.12500)</t>
  </si>
  <si>
    <t>(3) Balance Income Tax</t>
  </si>
  <si>
    <t>(4) Education cess 2% and surcharge for higher education 2% (Total 4%)</t>
  </si>
  <si>
    <t xml:space="preserve">                                                Total Incometax  (3+4)</t>
  </si>
  <si>
    <t>Subtract:- Relief under section 89</t>
  </si>
  <si>
    <t>Total Balance Income Tax</t>
  </si>
  <si>
    <t xml:space="preserve"> Details of Income Tax Deductions
</t>
  </si>
  <si>
    <t xml:space="preserve">T.D.S </t>
  </si>
  <si>
    <t>Total Tax Deduction</t>
  </si>
  <si>
    <t xml:space="preserve">Signature of Employee </t>
  </si>
  <si>
    <t>1. House Rent</t>
  </si>
  <si>
    <t>7. Interest of House Loan</t>
  </si>
  <si>
    <t>5. House Tax</t>
  </si>
  <si>
    <t>4. Income from House Property</t>
  </si>
  <si>
    <t>8. LIC - Life Insurance (Other Than Salary)</t>
  </si>
  <si>
    <t>9. PLI</t>
  </si>
  <si>
    <t>11. ULIP / Annual Plan</t>
  </si>
  <si>
    <t>GPF -Public provident fund</t>
  </si>
  <si>
    <t>12. NSC - National Savings Certificate</t>
  </si>
  <si>
    <t>13. Interest of NSC</t>
  </si>
  <si>
    <t>14. PPF -Public Provident Fund</t>
  </si>
  <si>
    <t>15. NSS -National Savings Scheme</t>
  </si>
  <si>
    <t>16. Sukanya Samriddhi Yojana</t>
  </si>
  <si>
    <t>17. 80TTA/80TTB Maximum Interest on Savings Account</t>
  </si>
  <si>
    <t>10. Tution Fees</t>
  </si>
  <si>
    <t>18. Income Of Other Source (Bank FD, Interest etc)</t>
  </si>
  <si>
    <t>NPS (New Pension Scheme)</t>
  </si>
  <si>
    <t>21. 80CCD(1B) Additional Contribution in NPS - (Max. 50000)</t>
  </si>
  <si>
    <r>
      <rPr>
        <b/>
        <sz val="10"/>
        <rFont val="Calibri"/>
        <family val="2"/>
        <scheme val="minor"/>
      </rPr>
      <t xml:space="preserve">(A) - Maximum limit 1,50,000 </t>
    </r>
    <r>
      <rPr>
        <b/>
        <sz val="12"/>
        <rFont val="Calibri"/>
        <family val="2"/>
        <scheme val="minor"/>
      </rPr>
      <t>&amp; Under Section (</t>
    </r>
    <r>
      <rPr>
        <b/>
        <sz val="10"/>
        <rFont val="Calibri"/>
        <family val="2"/>
        <scheme val="minor"/>
      </rPr>
      <t>80CCE)</t>
    </r>
    <r>
      <rPr>
        <b/>
        <sz val="12"/>
        <rFont val="Calibri"/>
        <family val="2"/>
        <scheme val="minor"/>
      </rPr>
      <t xml:space="preserve"> Except</t>
    </r>
  </si>
  <si>
    <t>(C) Less - Section 80CCD (1B) Additional Contribution to New Pension Scheme (Maximum Rs.50,000)</t>
  </si>
  <si>
    <t xml:space="preserve">Total (A+B+C)     </t>
  </si>
  <si>
    <t>22. 80D Medical Insurance Premium</t>
  </si>
  <si>
    <t>23. 80DD Medical treatment of dependents with disabilities</t>
  </si>
  <si>
    <t>24. 80DDB Deduction for treatment of specific diseases</t>
  </si>
  <si>
    <t>25. 80E Interest on loan taken for higher education</t>
  </si>
  <si>
    <t>26. 80G Donations given to charitable institutions etc.</t>
  </si>
  <si>
    <t>27. 80U In case of permanent physical disability</t>
  </si>
  <si>
    <t>28. 80GGA Donations given for approved scientific, social, rural development etc.</t>
  </si>
  <si>
    <t>29. Equity Linked Savings Scheme</t>
  </si>
  <si>
    <t>30. Defferred Annuty</t>
  </si>
  <si>
    <t>31. Relief under section 89</t>
  </si>
  <si>
    <t>32. TDS - Income tax deposited in addition to salary bill</t>
  </si>
  <si>
    <t>Details of Deductions, Income/Deposits and Exemptions Other Than Salary</t>
  </si>
  <si>
    <t xml:space="preserve">2. Entertainment Allowance </t>
  </si>
  <si>
    <t>Receipt Required for House Rent Exemption</t>
  </si>
  <si>
    <t>8. Section 80GGA Donations given for Approved Scientific, Social, Rural Development etc.</t>
  </si>
  <si>
    <t>7. Section 80TTA Maximum Interest on Savings Account is Rs. 10,000 194(IA) 80 TTB Senior Citizen (Maximum Interest Rs.50000)</t>
  </si>
  <si>
    <t>6. Section 80U In case of Permanent Physical Disability (maximum 75,000 and 125,000 as per the 1995 Act)</t>
  </si>
  <si>
    <t>5. Section 80G Donations given to Charitable Institutions etc. (100 percent in A category and 50 percent in B category)</t>
  </si>
  <si>
    <t>4. Section 80E Interest on Loan taken for Higher Education</t>
  </si>
  <si>
    <t>3. Section 80DDB Deduction for Treatment of Specific Diseases (Maximum Rs.40,000, Rs.100,000 for Senior Citizen)</t>
  </si>
  <si>
    <t>2. Section 80DD Medical Treatment of dependents with Disabilities (maximum 75,000 and 80% or more disability 125,000)</t>
  </si>
  <si>
    <t>20. (80CCC) Contribution to Pension Plan - Other Than NPS</t>
  </si>
  <si>
    <t xml:space="preserve">19. 80C - Other Deductions In Under Section </t>
  </si>
  <si>
    <t>3. Expenditure tax under section 16(III)</t>
  </si>
  <si>
    <t>EHRMS ID</t>
  </si>
  <si>
    <t>Bhanwar Lal</t>
  </si>
  <si>
    <t>LAKHAWTI</t>
  </si>
  <si>
    <t>02-03-1983</t>
  </si>
  <si>
    <t>00820000002794</t>
  </si>
  <si>
    <t>AURANGABAD</t>
  </si>
  <si>
    <t>UPCB000BULND</t>
  </si>
  <si>
    <t>DCB AURANGABAD</t>
  </si>
  <si>
    <t>JHS BAKAURA</t>
  </si>
  <si>
    <t>CREATED BY : PARMANAND MEGHWAL SENIOR TEACHER  (9784379510) , BARAN RAJASTHAN.</t>
  </si>
  <si>
    <t>DOWNLOD TAX SOFTWARE  -  RAJTEACHERS.NET</t>
  </si>
  <si>
    <t>GRADE PAY</t>
  </si>
  <si>
    <t>PPF</t>
  </si>
  <si>
    <t>JULY</t>
  </si>
  <si>
    <t>6. Home Loan Principal Amount</t>
  </si>
  <si>
    <t>HBA Premium -Home Loan Principal Amount</t>
  </si>
  <si>
    <t>Total Income from Salary</t>
  </si>
  <si>
    <t xml:space="preserve">                                                              Remanent (2-3)</t>
  </si>
  <si>
    <t xml:space="preserve">                                                          Remanent (2-3)</t>
  </si>
  <si>
    <t>(B) Less - Section 80CCD(2) The Amount of Pension Contribution by the Employer (14% of the Maximum Salary) Separately exempted</t>
  </si>
  <si>
    <t>NPS EMPLOYEE</t>
  </si>
  <si>
    <t>YES</t>
  </si>
  <si>
    <t>NO</t>
  </si>
  <si>
    <t>INCREMENT MONTH</t>
  </si>
  <si>
    <t>SENIOR CITIZEN</t>
  </si>
  <si>
    <t>BONUS</t>
  </si>
  <si>
    <t>(4) Balance Income Tax</t>
  </si>
  <si>
    <t>(5) Education cess 2% and surcharge for higher education 2% (Total 4%)</t>
  </si>
  <si>
    <t>xxxxxx</t>
  </si>
  <si>
    <t xml:space="preserve">(iii) Standard Deduction (Maximum limit Rs.75000)  </t>
  </si>
  <si>
    <t>Incometax Computation Financial (2025-26) Assessment Year (2026-27)</t>
  </si>
  <si>
    <t>DA Arrear 55%</t>
  </si>
  <si>
    <t>DA Arrear 58%</t>
  </si>
  <si>
    <t>Income Tax Computation Year 2025-2026 (Assessment Year 2026-2027)</t>
  </si>
  <si>
    <t>Up to 4,00,000</t>
  </si>
  <si>
    <t>4,00,001-8,00,000</t>
  </si>
  <si>
    <t>8,00,001-12,00,000</t>
  </si>
  <si>
    <t>12,00,001-16,00,000</t>
  </si>
  <si>
    <t>16,00,001-20,00,000</t>
  </si>
  <si>
    <t>20,00,001-24,00,000</t>
  </si>
  <si>
    <t xml:space="preserve">More Than 24,00,000 </t>
  </si>
  <si>
    <t>(2) Exemption section 87(I) (Exemption of income tax Maximum of Rs.60000) Or Marginal Relief benefit under section 115BAC(1)</t>
  </si>
  <si>
    <t>Up to December 2025</t>
  </si>
  <si>
    <t>Up to January 2026</t>
  </si>
  <si>
    <t>Up to February 2026</t>
  </si>
  <si>
    <t>Up to September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</si>
</sst>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7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3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1"/>
      <name val="Calibri"/>
      <family val="2"/>
      <scheme val="minor"/>
    </font>
    <font>
      <i/>
      <sz val="10"/>
      <name val="Times New Roman"/>
      <family val="1"/>
    </font>
    <font>
      <sz val="10"/>
      <name val="Times New Roman"/>
      <family val="1"/>
    </font>
    <font>
      <b/>
      <sz val="16"/>
      <color theme="1"/>
      <name val="Times New Roman"/>
      <family val="1"/>
    </font>
    <font>
      <b/>
      <u/>
      <sz val="20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sz val="13"/>
      <color theme="1"/>
      <name val="Kruti Dev 010"/>
    </font>
    <font>
      <b/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9"/>
      <color theme="1"/>
      <name val="Times New Roman"/>
      <family val="1"/>
    </font>
    <font>
      <b/>
      <sz val="14"/>
      <name val="Times New Roman"/>
      <family val="1"/>
    </font>
    <font>
      <b/>
      <sz val="13"/>
      <color theme="1"/>
      <name val="Calibri"/>
      <family val="2"/>
      <scheme val="minor"/>
    </font>
    <font>
      <i/>
      <sz val="10"/>
      <name val="Calibri"/>
      <family val="2"/>
      <scheme val="minor"/>
    </font>
    <font>
      <sz val="10"/>
      <name val="Cambria"/>
      <family val="1"/>
      <scheme val="major"/>
    </font>
    <font>
      <sz val="10"/>
      <name val="Ccca"/>
    </font>
    <font>
      <i/>
      <sz val="10"/>
      <name val="Ccca"/>
    </font>
    <font>
      <b/>
      <sz val="14"/>
      <name val="Calibri"/>
      <family val="2"/>
      <scheme val="minor"/>
    </font>
    <font>
      <b/>
      <sz val="12"/>
      <name val="Cambria"/>
      <family val="1"/>
      <scheme val="major"/>
    </font>
    <font>
      <b/>
      <sz val="16"/>
      <name val="Calibri"/>
      <family val="2"/>
      <scheme val="minor"/>
    </font>
    <font>
      <b/>
      <sz val="9"/>
      <name val="Calibri"/>
      <family val="2"/>
      <scheme val="minor"/>
    </font>
    <font>
      <b/>
      <i/>
      <sz val="10"/>
      <color theme="5" tint="-0.249977111117893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u/>
      <sz val="2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0"/>
      <name val="DevLys 010"/>
    </font>
    <font>
      <b/>
      <u/>
      <sz val="14"/>
      <name val="Calibri"/>
      <family val="2"/>
      <scheme val="minor"/>
    </font>
    <font>
      <b/>
      <sz val="16"/>
      <name val="Arial"/>
      <family val="2"/>
    </font>
    <font>
      <b/>
      <sz val="16"/>
      <color theme="0"/>
      <name val="Arial"/>
      <family val="2"/>
    </font>
    <font>
      <sz val="12"/>
      <color rgb="FFFF0000"/>
      <name val="DevLys 010"/>
    </font>
    <font>
      <sz val="12"/>
      <color rgb="FFC00000"/>
      <name val="DevLys 010"/>
    </font>
    <font>
      <sz val="12"/>
      <color rgb="FFC00000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-0.499984740745262"/>
        <bgColor indexed="64"/>
      </patternFill>
    </fill>
  </fills>
  <borders count="4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6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3" borderId="0" applyNumberFormat="0" applyBorder="0" applyAlignment="0" applyProtection="0"/>
    <xf numFmtId="0" fontId="10" fillId="20" borderId="1" applyNumberFormat="0" applyAlignment="0" applyProtection="0"/>
    <xf numFmtId="0" fontId="11" fillId="21" borderId="2" applyNumberFormat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7" borderId="1" applyNumberFormat="0" applyAlignment="0" applyProtection="0"/>
    <xf numFmtId="0" fontId="18" fillId="0" borderId="6" applyNumberFormat="0" applyFill="0" applyAlignment="0" applyProtection="0"/>
    <xf numFmtId="0" fontId="19" fillId="22" borderId="0" applyNumberFormat="0" applyBorder="0" applyAlignment="0" applyProtection="0"/>
    <xf numFmtId="0" fontId="5" fillId="0" borderId="0"/>
    <xf numFmtId="0" fontId="5" fillId="0" borderId="0"/>
    <xf numFmtId="0" fontId="7" fillId="23" borderId="7" applyNumberFormat="0" applyFont="0" applyAlignment="0" applyProtection="0"/>
    <xf numFmtId="0" fontId="20" fillId="20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48" fillId="0" borderId="0" applyNumberFormat="0" applyFill="0" applyBorder="0" applyAlignment="0" applyProtection="0">
      <alignment vertical="top"/>
      <protection locked="0"/>
    </xf>
    <xf numFmtId="0" fontId="5" fillId="0" borderId="0"/>
  </cellStyleXfs>
  <cellXfs count="305">
    <xf numFmtId="0" fontId="0" fillId="0" borderId="0" xfId="0"/>
    <xf numFmtId="2" fontId="1" fillId="0" borderId="0" xfId="0" applyNumberFormat="1" applyFont="1"/>
    <xf numFmtId="2" fontId="6" fillId="24" borderId="0" xfId="0" applyNumberFormat="1" applyFont="1" applyFill="1" applyAlignment="1">
      <alignment horizontal="left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top" textRotation="90"/>
    </xf>
    <xf numFmtId="0" fontId="3" fillId="0" borderId="0" xfId="0" applyFont="1"/>
    <xf numFmtId="0" fontId="25" fillId="0" borderId="0" xfId="37" applyFont="1"/>
    <xf numFmtId="0" fontId="1" fillId="0" borderId="0" xfId="37" applyFont="1"/>
    <xf numFmtId="0" fontId="24" fillId="0" borderId="0" xfId="37" applyFont="1" applyAlignment="1">
      <alignment horizontal="right"/>
    </xf>
    <xf numFmtId="0" fontId="25" fillId="0" borderId="0" xfId="37" applyFont="1" applyAlignment="1">
      <alignment horizontal="right"/>
    </xf>
    <xf numFmtId="0" fontId="0" fillId="0" borderId="0" xfId="0" applyAlignment="1">
      <alignment vertical="center"/>
    </xf>
    <xf numFmtId="0" fontId="34" fillId="0" borderId="0" xfId="0" applyFont="1" applyAlignment="1">
      <alignment horizontal="center" textRotation="90" wrapText="1"/>
    </xf>
    <xf numFmtId="0" fontId="31" fillId="0" borderId="0" xfId="0" applyFont="1" applyAlignment="1">
      <alignment vertical="center"/>
    </xf>
    <xf numFmtId="0" fontId="34" fillId="0" borderId="0" xfId="0" applyFont="1" applyAlignment="1">
      <alignment horizontal="center" vertical="center" textRotation="90"/>
    </xf>
    <xf numFmtId="0" fontId="26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2" fontId="30" fillId="0" borderId="0" xfId="37" applyNumberFormat="1" applyFont="1" applyAlignment="1">
      <alignment horizontal="right" vertical="center"/>
    </xf>
    <xf numFmtId="0" fontId="31" fillId="0" borderId="10" xfId="0" applyFont="1" applyBorder="1" applyAlignment="1" applyProtection="1">
      <alignment horizontal="center" vertical="center"/>
      <protection locked="0" hidden="1"/>
    </xf>
    <xf numFmtId="0" fontId="34" fillId="0" borderId="10" xfId="0" applyFont="1" applyBorder="1" applyAlignment="1" applyProtection="1">
      <alignment horizontal="center" vertical="center"/>
      <protection hidden="1"/>
    </xf>
    <xf numFmtId="2" fontId="31" fillId="0" borderId="10" xfId="0" applyNumberFormat="1" applyFont="1" applyBorder="1" applyAlignment="1" applyProtection="1">
      <alignment horizontal="center" vertical="center"/>
      <protection hidden="1"/>
    </xf>
    <xf numFmtId="2" fontId="34" fillId="0" borderId="10" xfId="0" applyNumberFormat="1" applyFont="1" applyBorder="1" applyAlignment="1" applyProtection="1">
      <alignment horizontal="center" vertical="center"/>
      <protection hidden="1"/>
    </xf>
    <xf numFmtId="2" fontId="31" fillId="0" borderId="10" xfId="0" applyNumberFormat="1" applyFont="1" applyBorder="1" applyAlignment="1" applyProtection="1">
      <alignment horizontal="center" vertical="center"/>
      <protection locked="0" hidden="1"/>
    </xf>
    <xf numFmtId="0" fontId="5" fillId="26" borderId="0" xfId="0" applyFont="1" applyFill="1" applyAlignment="1">
      <alignment vertical="top"/>
    </xf>
    <xf numFmtId="2" fontId="1" fillId="0" borderId="0" xfId="0" applyNumberFormat="1" applyFont="1" applyAlignment="1">
      <alignment vertical="center"/>
    </xf>
    <xf numFmtId="2" fontId="6" fillId="24" borderId="0" xfId="0" applyNumberFormat="1" applyFont="1" applyFill="1" applyAlignment="1">
      <alignment horizontal="left" indent="2"/>
    </xf>
    <xf numFmtId="0" fontId="26" fillId="26" borderId="0" xfId="0" applyFont="1" applyFill="1" applyAlignment="1">
      <alignment vertical="top"/>
    </xf>
    <xf numFmtId="0" fontId="34" fillId="26" borderId="0" xfId="0" applyFont="1" applyFill="1" applyAlignment="1">
      <alignment horizontal="center" textRotation="90" wrapText="1"/>
    </xf>
    <xf numFmtId="0" fontId="31" fillId="26" borderId="0" xfId="0" applyFont="1" applyFill="1" applyAlignment="1">
      <alignment vertical="center"/>
    </xf>
    <xf numFmtId="0" fontId="34" fillId="26" borderId="0" xfId="0" applyFont="1" applyFill="1" applyAlignment="1">
      <alignment horizontal="center" vertical="center" textRotation="90"/>
    </xf>
    <xf numFmtId="0" fontId="4" fillId="26" borderId="0" xfId="0" applyFont="1" applyFill="1" applyAlignment="1">
      <alignment vertical="top" textRotation="90"/>
    </xf>
    <xf numFmtId="0" fontId="0" fillId="26" borderId="0" xfId="0" applyFill="1"/>
    <xf numFmtId="2" fontId="6" fillId="24" borderId="17" xfId="0" applyNumberFormat="1" applyFont="1" applyFill="1" applyBorder="1" applyAlignment="1">
      <alignment horizontal="left"/>
    </xf>
    <xf numFmtId="2" fontId="6" fillId="24" borderId="17" xfId="0" applyNumberFormat="1" applyFont="1" applyFill="1" applyBorder="1" applyAlignment="1">
      <alignment horizontal="left" indent="2"/>
    </xf>
    <xf numFmtId="2" fontId="45" fillId="31" borderId="17" xfId="0" applyNumberFormat="1" applyFont="1" applyFill="1" applyBorder="1" applyAlignment="1">
      <alignment horizontal="center" vertical="center"/>
    </xf>
    <xf numFmtId="1" fontId="46" fillId="30" borderId="0" xfId="0" applyNumberFormat="1" applyFont="1" applyFill="1" applyAlignment="1">
      <alignment horizontal="center" vertical="center"/>
    </xf>
    <xf numFmtId="1" fontId="46" fillId="31" borderId="0" xfId="0" applyNumberFormat="1" applyFont="1" applyFill="1" applyAlignment="1">
      <alignment horizontal="center" vertical="center"/>
    </xf>
    <xf numFmtId="1" fontId="46" fillId="29" borderId="0" xfId="0" applyNumberFormat="1" applyFont="1" applyFill="1" applyAlignment="1">
      <alignment horizontal="center" vertical="center"/>
    </xf>
    <xf numFmtId="2" fontId="46" fillId="29" borderId="0" xfId="0" applyNumberFormat="1" applyFont="1" applyFill="1" applyAlignment="1">
      <alignment horizontal="center" vertical="center"/>
    </xf>
    <xf numFmtId="2" fontId="29" fillId="29" borderId="0" xfId="0" applyNumberFormat="1" applyFont="1" applyFill="1" applyAlignment="1" applyProtection="1">
      <alignment horizontal="center"/>
      <protection locked="0"/>
    </xf>
    <xf numFmtId="2" fontId="29" fillId="29" borderId="0" xfId="0" applyNumberFormat="1" applyFont="1" applyFill="1" applyAlignment="1">
      <alignment horizontal="left"/>
    </xf>
    <xf numFmtId="2" fontId="29" fillId="33" borderId="0" xfId="0" applyNumberFormat="1" applyFont="1" applyFill="1" applyAlignment="1" applyProtection="1">
      <alignment horizontal="center" vertical="center"/>
      <protection locked="0"/>
    </xf>
    <xf numFmtId="2" fontId="29" fillId="33" borderId="0" xfId="0" applyNumberFormat="1" applyFont="1" applyFill="1" applyAlignment="1">
      <alignment horizontal="left"/>
    </xf>
    <xf numFmtId="2" fontId="29" fillId="33" borderId="0" xfId="0" applyNumberFormat="1" applyFont="1" applyFill="1" applyAlignment="1" applyProtection="1">
      <alignment horizontal="center"/>
      <protection locked="0"/>
    </xf>
    <xf numFmtId="2" fontId="47" fillId="34" borderId="17" xfId="0" applyNumberFormat="1" applyFont="1" applyFill="1" applyBorder="1" applyAlignment="1">
      <alignment horizontal="center"/>
    </xf>
    <xf numFmtId="0" fontId="31" fillId="36" borderId="10" xfId="0" applyFont="1" applyFill="1" applyBorder="1" applyAlignment="1" applyProtection="1">
      <alignment horizontal="center" vertical="center"/>
      <protection locked="0" hidden="1"/>
    </xf>
    <xf numFmtId="0" fontId="62" fillId="0" borderId="0" xfId="37" applyFont="1" applyAlignment="1">
      <alignment horizontal="right" vertical="center"/>
    </xf>
    <xf numFmtId="0" fontId="30" fillId="0" borderId="0" xfId="37" applyFont="1" applyAlignment="1">
      <alignment horizontal="right" vertical="center"/>
    </xf>
    <xf numFmtId="0" fontId="30" fillId="0" borderId="0" xfId="37" applyFont="1"/>
    <xf numFmtId="0" fontId="31" fillId="0" borderId="0" xfId="37" applyFont="1"/>
    <xf numFmtId="0" fontId="31" fillId="0" borderId="0" xfId="37" applyFont="1" applyAlignment="1">
      <alignment horizontal="right"/>
    </xf>
    <xf numFmtId="0" fontId="30" fillId="26" borderId="0" xfId="37" applyFont="1" applyFill="1"/>
    <xf numFmtId="0" fontId="31" fillId="26" borderId="0" xfId="37" applyFont="1" applyFill="1"/>
    <xf numFmtId="0" fontId="34" fillId="26" borderId="0" xfId="37" applyFont="1" applyFill="1" applyAlignment="1">
      <alignment horizontal="right"/>
    </xf>
    <xf numFmtId="0" fontId="31" fillId="26" borderId="0" xfId="37" applyFont="1" applyFill="1" applyAlignment="1">
      <alignment horizontal="right"/>
    </xf>
    <xf numFmtId="0" fontId="34" fillId="0" borderId="0" xfId="37" applyFont="1" applyAlignment="1">
      <alignment horizontal="right"/>
    </xf>
    <xf numFmtId="2" fontId="30" fillId="29" borderId="0" xfId="0" applyNumberFormat="1" applyFont="1" applyFill="1" applyAlignment="1">
      <alignment horizontal="left" indent="1"/>
    </xf>
    <xf numFmtId="2" fontId="30" fillId="33" borderId="0" xfId="0" applyNumberFormat="1" applyFont="1" applyFill="1" applyAlignment="1">
      <alignment horizontal="left" vertical="center" wrapText="1" indent="1"/>
    </xf>
    <xf numFmtId="2" fontId="30" fillId="33" borderId="0" xfId="0" applyNumberFormat="1" applyFont="1" applyFill="1" applyAlignment="1">
      <alignment horizontal="left" vertical="center" indent="1"/>
    </xf>
    <xf numFmtId="2" fontId="30" fillId="33" borderId="0" xfId="0" applyNumberFormat="1" applyFont="1" applyFill="1" applyAlignment="1">
      <alignment horizontal="left" indent="1"/>
    </xf>
    <xf numFmtId="2" fontId="30" fillId="29" borderId="0" xfId="0" applyNumberFormat="1" applyFont="1" applyFill="1" applyAlignment="1">
      <alignment horizontal="left" vertical="center" wrapText="1" indent="1"/>
    </xf>
    <xf numFmtId="2" fontId="31" fillId="33" borderId="0" xfId="0" applyNumberFormat="1" applyFont="1" applyFill="1" applyAlignment="1">
      <alignment horizontal="left" indent="1"/>
    </xf>
    <xf numFmtId="0" fontId="5" fillId="0" borderId="0" xfId="0" applyFont="1" applyAlignment="1" applyProtection="1">
      <alignment vertical="top"/>
      <protection locked="0" hidden="1"/>
    </xf>
    <xf numFmtId="0" fontId="5" fillId="0" borderId="0" xfId="0" applyFont="1" applyAlignment="1" applyProtection="1">
      <alignment horizontal="center" vertical="center"/>
      <protection locked="0" hidden="1"/>
    </xf>
    <xf numFmtId="0" fontId="26" fillId="0" borderId="0" xfId="0" applyFont="1" applyAlignment="1" applyProtection="1">
      <alignment horizontal="center" vertical="center"/>
      <protection locked="0" hidden="1"/>
    </xf>
    <xf numFmtId="0" fontId="26" fillId="0" borderId="0" xfId="0" applyFont="1" applyAlignment="1" applyProtection="1">
      <alignment vertical="top"/>
      <protection locked="0" hidden="1"/>
    </xf>
    <xf numFmtId="0" fontId="34" fillId="0" borderId="0" xfId="0" applyFont="1" applyAlignment="1" applyProtection="1">
      <alignment horizontal="center" textRotation="90" wrapText="1"/>
      <protection locked="0" hidden="1"/>
    </xf>
    <xf numFmtId="0" fontId="30" fillId="0" borderId="10" xfId="0" applyFont="1" applyBorder="1" applyAlignment="1" applyProtection="1">
      <alignment horizontal="center" vertical="center"/>
      <protection locked="0" hidden="1"/>
    </xf>
    <xf numFmtId="0" fontId="31" fillId="0" borderId="0" xfId="0" applyFont="1" applyAlignment="1" applyProtection="1">
      <alignment vertical="center"/>
      <protection locked="0" hidden="1"/>
    </xf>
    <xf numFmtId="0" fontId="34" fillId="0" borderId="0" xfId="0" applyFont="1" applyAlignment="1" applyProtection="1">
      <alignment horizontal="center" vertical="center" textRotation="90"/>
      <protection locked="0" hidden="1"/>
    </xf>
    <xf numFmtId="0" fontId="4" fillId="0" borderId="0" xfId="0" applyFont="1" applyAlignment="1" applyProtection="1">
      <alignment vertical="top" textRotation="90"/>
      <protection locked="0" hidden="1"/>
    </xf>
    <xf numFmtId="0" fontId="30" fillId="0" borderId="14" xfId="0" applyFont="1" applyBorder="1" applyAlignment="1" applyProtection="1">
      <alignment horizontal="center" vertical="center"/>
      <protection locked="0" hidden="1"/>
    </xf>
    <xf numFmtId="0" fontId="51" fillId="36" borderId="10" xfId="0" applyFont="1" applyFill="1" applyBorder="1" applyAlignment="1" applyProtection="1">
      <alignment horizontal="center" vertical="top" wrapText="1"/>
      <protection locked="0" hidden="1"/>
    </xf>
    <xf numFmtId="0" fontId="49" fillId="35" borderId="14" xfId="0" applyFont="1" applyFill="1" applyBorder="1" applyAlignment="1" applyProtection="1">
      <alignment vertical="center"/>
      <protection locked="0" hidden="1"/>
    </xf>
    <xf numFmtId="0" fontId="49" fillId="35" borderId="10" xfId="0" applyFont="1" applyFill="1" applyBorder="1" applyAlignment="1" applyProtection="1">
      <alignment vertical="center"/>
      <protection locked="0" hidden="1"/>
    </xf>
    <xf numFmtId="0" fontId="0" fillId="0" borderId="10" xfId="0" applyBorder="1" applyProtection="1">
      <protection locked="0" hidden="1"/>
    </xf>
    <xf numFmtId="0" fontId="0" fillId="0" borderId="10" xfId="0" applyBorder="1" applyAlignment="1" applyProtection="1">
      <alignment horizontal="left"/>
      <protection locked="0" hidden="1"/>
    </xf>
    <xf numFmtId="0" fontId="50" fillId="35" borderId="10" xfId="0" applyFont="1" applyFill="1" applyBorder="1" applyAlignment="1" applyProtection="1">
      <alignment horizontal="center" vertical="center"/>
      <protection locked="0" hidden="1"/>
    </xf>
    <xf numFmtId="0" fontId="49" fillId="35" borderId="10" xfId="0" applyFont="1" applyFill="1" applyBorder="1" applyAlignment="1" applyProtection="1">
      <alignment horizontal="center" vertical="center"/>
      <protection locked="0" hidden="1"/>
    </xf>
    <xf numFmtId="0" fontId="0" fillId="0" borderId="10" xfId="0" applyBorder="1" applyAlignment="1" applyProtection="1">
      <alignment horizontal="center" vertical="center"/>
      <protection locked="0" hidden="1"/>
    </xf>
    <xf numFmtId="0" fontId="51" fillId="36" borderId="10" xfId="0" applyFont="1" applyFill="1" applyBorder="1" applyAlignment="1" applyProtection="1">
      <alignment vertical="top" wrapText="1"/>
      <protection locked="0" hidden="1"/>
    </xf>
    <xf numFmtId="0" fontId="54" fillId="35" borderId="10" xfId="0" applyFont="1" applyFill="1" applyBorder="1" applyAlignment="1" applyProtection="1">
      <alignment horizontal="center" vertical="center"/>
      <protection locked="0" hidden="1"/>
    </xf>
    <xf numFmtId="0" fontId="51" fillId="36" borderId="39" xfId="0" applyFont="1" applyFill="1" applyBorder="1" applyAlignment="1" applyProtection="1">
      <alignment horizontal="center" vertical="top" wrapText="1"/>
      <protection locked="0" hidden="1"/>
    </xf>
    <xf numFmtId="0" fontId="0" fillId="0" borderId="39" xfId="0" applyBorder="1" applyProtection="1">
      <protection locked="0" hidden="1"/>
    </xf>
    <xf numFmtId="0" fontId="0" fillId="0" borderId="39" xfId="0" applyBorder="1" applyAlignment="1" applyProtection="1">
      <alignment horizontal="left"/>
      <protection locked="0" hidden="1"/>
    </xf>
    <xf numFmtId="0" fontId="0" fillId="0" borderId="39" xfId="0" applyBorder="1" applyAlignment="1" applyProtection="1">
      <alignment horizontal="center"/>
      <protection locked="0" hidden="1"/>
    </xf>
    <xf numFmtId="0" fontId="50" fillId="35" borderId="39" xfId="0" applyFont="1" applyFill="1" applyBorder="1" applyAlignment="1" applyProtection="1">
      <alignment horizontal="center" vertical="center"/>
      <protection locked="0" hidden="1"/>
    </xf>
    <xf numFmtId="0" fontId="37" fillId="0" borderId="10" xfId="0" applyFont="1" applyBorder="1" applyAlignment="1" applyProtection="1">
      <alignment horizontal="center" textRotation="90" wrapText="1"/>
      <protection hidden="1"/>
    </xf>
    <xf numFmtId="0" fontId="54" fillId="35" borderId="14" xfId="0" applyFont="1" applyFill="1" applyBorder="1" applyAlignment="1" applyProtection="1">
      <alignment vertical="center"/>
      <protection locked="0" hidden="1"/>
    </xf>
    <xf numFmtId="0" fontId="54" fillId="35" borderId="10" xfId="0" applyFont="1" applyFill="1" applyBorder="1" applyAlignment="1" applyProtection="1">
      <alignment vertical="center"/>
      <protection locked="0" hidden="1"/>
    </xf>
    <xf numFmtId="0" fontId="31" fillId="0" borderId="10" xfId="0" applyFont="1" applyBorder="1" applyProtection="1">
      <protection locked="0" hidden="1"/>
    </xf>
    <xf numFmtId="0" fontId="31" fillId="0" borderId="10" xfId="0" applyFont="1" applyBorder="1" applyAlignment="1" applyProtection="1">
      <alignment horizontal="left"/>
      <protection locked="0" hidden="1"/>
    </xf>
    <xf numFmtId="0" fontId="54" fillId="35" borderId="19" xfId="0" applyFont="1" applyFill="1" applyBorder="1" applyAlignment="1" applyProtection="1">
      <alignment vertical="center"/>
      <protection locked="0" hidden="1"/>
    </xf>
    <xf numFmtId="0" fontId="54" fillId="35" borderId="39" xfId="0" applyFont="1" applyFill="1" applyBorder="1" applyAlignment="1" applyProtection="1">
      <alignment vertical="center"/>
      <protection locked="0" hidden="1"/>
    </xf>
    <xf numFmtId="0" fontId="31" fillId="0" borderId="39" xfId="0" applyFont="1" applyBorder="1" applyProtection="1">
      <protection locked="0" hidden="1"/>
    </xf>
    <xf numFmtId="0" fontId="31" fillId="0" borderId="39" xfId="0" applyFont="1" applyBorder="1" applyAlignment="1" applyProtection="1">
      <alignment horizontal="left"/>
      <protection locked="0" hidden="1"/>
    </xf>
    <xf numFmtId="0" fontId="31" fillId="0" borderId="39" xfId="0" applyFont="1" applyBorder="1" applyAlignment="1" applyProtection="1">
      <alignment horizontal="center"/>
      <protection locked="0" hidden="1"/>
    </xf>
    <xf numFmtId="0" fontId="54" fillId="35" borderId="39" xfId="0" applyFont="1" applyFill="1" applyBorder="1" applyAlignment="1" applyProtection="1">
      <alignment horizontal="center" vertical="center"/>
      <protection locked="0" hidden="1"/>
    </xf>
    <xf numFmtId="0" fontId="69" fillId="35" borderId="10" xfId="0" applyFont="1" applyFill="1" applyBorder="1" applyAlignment="1" applyProtection="1">
      <alignment horizontal="center" vertical="center"/>
      <protection locked="0" hidden="1"/>
    </xf>
    <xf numFmtId="0" fontId="31" fillId="32" borderId="10" xfId="0" applyFont="1" applyFill="1" applyBorder="1" applyAlignment="1" applyProtection="1">
      <alignment horizontal="center" vertical="center"/>
      <protection locked="0" hidden="1"/>
    </xf>
    <xf numFmtId="0" fontId="31" fillId="0" borderId="10" xfId="0" applyFont="1" applyBorder="1" applyAlignment="1" applyProtection="1">
      <alignment vertical="center"/>
      <protection locked="0"/>
    </xf>
    <xf numFmtId="0" fontId="6" fillId="0" borderId="10" xfId="0" applyFont="1" applyBorder="1" applyAlignment="1">
      <alignment horizontal="left" vertical="center"/>
    </xf>
    <xf numFmtId="0" fontId="38" fillId="0" borderId="10" xfId="0" applyFont="1" applyBorder="1" applyAlignment="1" applyProtection="1">
      <alignment horizontal="center" textRotation="90" wrapText="1"/>
      <protection hidden="1"/>
    </xf>
    <xf numFmtId="0" fontId="6" fillId="0" borderId="10" xfId="0" applyFont="1" applyBorder="1" applyAlignment="1" applyProtection="1">
      <alignment horizontal="left" vertical="center"/>
      <protection locked="0"/>
    </xf>
    <xf numFmtId="14" fontId="6" fillId="0" borderId="10" xfId="0" applyNumberFormat="1" applyFont="1" applyBorder="1" applyAlignment="1" applyProtection="1">
      <alignment horizontal="left" vertical="center"/>
      <protection locked="0"/>
    </xf>
    <xf numFmtId="0" fontId="51" fillId="38" borderId="10" xfId="0" applyFont="1" applyFill="1" applyBorder="1" applyAlignment="1" applyProtection="1">
      <alignment horizontal="center" vertical="center"/>
      <protection locked="0" hidden="1"/>
    </xf>
    <xf numFmtId="0" fontId="37" fillId="0" borderId="10" xfId="0" applyFont="1" applyBorder="1" applyAlignment="1" applyProtection="1">
      <alignment horizontal="center" vertical="center" wrapText="1"/>
      <protection hidden="1"/>
    </xf>
    <xf numFmtId="17" fontId="36" fillId="0" borderId="10" xfId="0" applyNumberFormat="1" applyFont="1" applyBorder="1" applyAlignment="1">
      <alignment horizontal="center" vertical="center"/>
    </xf>
    <xf numFmtId="17" fontId="31" fillId="0" borderId="10" xfId="0" applyNumberFormat="1" applyFont="1" applyBorder="1" applyAlignment="1" applyProtection="1">
      <alignment horizontal="center" vertical="center"/>
      <protection locked="0"/>
    </xf>
    <xf numFmtId="17" fontId="31" fillId="0" borderId="10" xfId="0" applyNumberFormat="1" applyFont="1" applyBorder="1" applyAlignment="1">
      <alignment horizontal="center" vertical="center"/>
    </xf>
    <xf numFmtId="0" fontId="34" fillId="0" borderId="10" xfId="0" applyFont="1" applyBorder="1" applyAlignment="1">
      <alignment horizontal="center" vertical="center" textRotation="90"/>
    </xf>
    <xf numFmtId="0" fontId="40" fillId="0" borderId="10" xfId="0" applyFont="1" applyBorder="1" applyAlignment="1" applyProtection="1">
      <alignment horizontal="center" vertical="center" textRotation="90"/>
      <protection hidden="1"/>
    </xf>
    <xf numFmtId="2" fontId="40" fillId="0" borderId="10" xfId="0" applyNumberFormat="1" applyFont="1" applyBorder="1" applyAlignment="1" applyProtection="1">
      <alignment horizontal="center" vertical="center" textRotation="90"/>
      <protection hidden="1"/>
    </xf>
    <xf numFmtId="0" fontId="34" fillId="0" borderId="10" xfId="0" applyFont="1" applyBorder="1" applyAlignment="1" applyProtection="1">
      <alignment horizontal="center" vertical="center" textRotation="90"/>
      <protection hidden="1"/>
    </xf>
    <xf numFmtId="0" fontId="61" fillId="36" borderId="10" xfId="0" applyFont="1" applyFill="1" applyBorder="1" applyAlignment="1" applyProtection="1">
      <alignment horizontal="center" vertical="center"/>
      <protection locked="0"/>
    </xf>
    <xf numFmtId="0" fontId="72" fillId="36" borderId="10" xfId="0" applyFont="1" applyFill="1" applyBorder="1" applyAlignment="1" applyProtection="1">
      <alignment horizontal="center" vertical="center"/>
      <protection locked="0"/>
    </xf>
    <xf numFmtId="0" fontId="61" fillId="36" borderId="13" xfId="0" applyFont="1" applyFill="1" applyBorder="1" applyAlignment="1" applyProtection="1">
      <alignment horizontal="center" vertical="center"/>
      <protection locked="0"/>
    </xf>
    <xf numFmtId="0" fontId="30" fillId="0" borderId="30" xfId="37" applyFont="1" applyBorder="1" applyAlignment="1" applyProtection="1">
      <alignment horizontal="center" vertical="center"/>
      <protection hidden="1"/>
    </xf>
    <xf numFmtId="0" fontId="36" fillId="0" borderId="32" xfId="37" applyFont="1" applyBorder="1" applyAlignment="1" applyProtection="1">
      <alignment horizontal="left" vertical="center"/>
      <protection hidden="1"/>
    </xf>
    <xf numFmtId="0" fontId="31" fillId="0" borderId="32" xfId="37" applyFont="1" applyBorder="1" applyAlignment="1" applyProtection="1">
      <alignment horizontal="right" vertical="center"/>
      <protection hidden="1"/>
    </xf>
    <xf numFmtId="0" fontId="30" fillId="0" borderId="22" xfId="37" applyFont="1" applyBorder="1" applyAlignment="1" applyProtection="1">
      <alignment horizontal="center" vertical="center"/>
      <protection hidden="1"/>
    </xf>
    <xf numFmtId="0" fontId="31" fillId="0" borderId="10" xfId="37" applyFont="1" applyBorder="1" applyAlignment="1" applyProtection="1">
      <alignment horizontal="left" vertical="top" wrapText="1"/>
      <protection hidden="1"/>
    </xf>
    <xf numFmtId="2" fontId="29" fillId="0" borderId="21" xfId="37" applyNumberFormat="1" applyFont="1" applyBorder="1" applyAlignment="1" applyProtection="1">
      <alignment horizontal="right" vertical="center"/>
      <protection hidden="1"/>
    </xf>
    <xf numFmtId="2" fontId="30" fillId="0" borderId="21" xfId="37" applyNumberFormat="1" applyFont="1" applyBorder="1" applyAlignment="1" applyProtection="1">
      <alignment horizontal="right" vertical="center"/>
      <protection hidden="1"/>
    </xf>
    <xf numFmtId="0" fontId="42" fillId="0" borderId="10" xfId="37" applyFont="1" applyBorder="1" applyAlignment="1" applyProtection="1">
      <alignment horizontal="center" vertical="top" wrapText="1"/>
      <protection hidden="1"/>
    </xf>
    <xf numFmtId="2" fontId="55" fillId="0" borderId="10" xfId="37" applyNumberFormat="1" applyFont="1" applyBorder="1" applyAlignment="1" applyProtection="1">
      <alignment horizontal="center" vertical="top" wrapText="1"/>
      <protection hidden="1"/>
    </xf>
    <xf numFmtId="0" fontId="1" fillId="0" borderId="18" xfId="37" applyFont="1" applyBorder="1" applyAlignment="1" applyProtection="1">
      <alignment vertical="center"/>
      <protection hidden="1"/>
    </xf>
    <xf numFmtId="0" fontId="70" fillId="0" borderId="38" xfId="37" applyFont="1" applyBorder="1" applyAlignment="1" applyProtection="1">
      <alignment vertical="center"/>
      <protection hidden="1"/>
    </xf>
    <xf numFmtId="2" fontId="55" fillId="25" borderId="10" xfId="37" applyNumberFormat="1" applyFont="1" applyFill="1" applyBorder="1" applyAlignment="1" applyProtection="1">
      <alignment horizontal="center" vertical="top" wrapText="1"/>
      <protection hidden="1"/>
    </xf>
    <xf numFmtId="0" fontId="1" fillId="0" borderId="35" xfId="37" applyFont="1" applyBorder="1" applyAlignment="1" applyProtection="1">
      <alignment vertical="center"/>
      <protection hidden="1"/>
    </xf>
    <xf numFmtId="0" fontId="75" fillId="0" borderId="36" xfId="37" applyFont="1" applyBorder="1" applyAlignment="1" applyProtection="1">
      <alignment vertical="center"/>
      <protection hidden="1"/>
    </xf>
    <xf numFmtId="0" fontId="76" fillId="0" borderId="36" xfId="37" applyFont="1" applyBorder="1" applyAlignment="1" applyProtection="1">
      <alignment vertical="center"/>
      <protection hidden="1"/>
    </xf>
    <xf numFmtId="0" fontId="57" fillId="0" borderId="10" xfId="37" applyFont="1" applyBorder="1" applyAlignment="1" applyProtection="1">
      <alignment horizontal="center" vertical="top" wrapText="1"/>
      <protection hidden="1"/>
    </xf>
    <xf numFmtId="0" fontId="57" fillId="0" borderId="10" xfId="37" applyFont="1" applyBorder="1" applyAlignment="1" applyProtection="1">
      <alignment horizontal="left" vertical="top" wrapText="1"/>
      <protection hidden="1"/>
    </xf>
    <xf numFmtId="2" fontId="58" fillId="0" borderId="10" xfId="37" applyNumberFormat="1" applyFont="1" applyBorder="1" applyAlignment="1" applyProtection="1">
      <alignment horizontal="center" vertical="top" wrapText="1"/>
      <protection hidden="1"/>
    </xf>
    <xf numFmtId="2" fontId="33" fillId="0" borderId="10" xfId="37" applyNumberFormat="1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vertical="center"/>
      <protection hidden="1"/>
    </xf>
    <xf numFmtId="0" fontId="74" fillId="0" borderId="37" xfId="37" applyFont="1" applyBorder="1" applyAlignment="1" applyProtection="1">
      <alignment vertical="center"/>
      <protection hidden="1"/>
    </xf>
    <xf numFmtId="0" fontId="30" fillId="0" borderId="24" xfId="37" applyFont="1" applyBorder="1" applyAlignment="1" applyProtection="1">
      <alignment horizontal="center" vertical="top"/>
      <protection hidden="1"/>
    </xf>
    <xf numFmtId="2" fontId="32" fillId="0" borderId="21" xfId="37" applyNumberFormat="1" applyFont="1" applyBorder="1" applyAlignment="1" applyProtection="1">
      <alignment horizontal="right" vertical="center"/>
      <protection hidden="1"/>
    </xf>
    <xf numFmtId="0" fontId="24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0" fontId="31" fillId="0" borderId="10" xfId="37" applyFont="1" applyBorder="1" applyAlignment="1" applyProtection="1">
      <alignment horizontal="center" vertical="center"/>
      <protection hidden="1"/>
    </xf>
    <xf numFmtId="2" fontId="30" fillId="0" borderId="21" xfId="37" applyNumberFormat="1" applyFont="1" applyBorder="1" applyAlignment="1" applyProtection="1">
      <alignment vertical="center"/>
      <protection hidden="1"/>
    </xf>
    <xf numFmtId="9" fontId="31" fillId="0" borderId="10" xfId="37" applyNumberFormat="1" applyFont="1" applyBorder="1" applyAlignment="1" applyProtection="1">
      <alignment horizontal="center" vertical="center"/>
      <protection hidden="1"/>
    </xf>
    <xf numFmtId="0" fontId="29" fillId="0" borderId="10" xfId="37" applyFont="1" applyBorder="1" applyAlignment="1" applyProtection="1">
      <alignment horizontal="center" vertical="center" wrapText="1"/>
      <protection hidden="1"/>
    </xf>
    <xf numFmtId="0" fontId="30" fillId="0" borderId="10" xfId="37" applyFont="1" applyBorder="1" applyAlignment="1" applyProtection="1">
      <alignment horizontal="center" vertical="center"/>
      <protection hidden="1"/>
    </xf>
    <xf numFmtId="1" fontId="30" fillId="0" borderId="10" xfId="37" applyNumberFormat="1" applyFont="1" applyBorder="1" applyAlignment="1" applyProtection="1">
      <alignment horizontal="center" vertical="center" wrapText="1"/>
      <protection hidden="1"/>
    </xf>
    <xf numFmtId="2" fontId="30" fillId="0" borderId="29" xfId="37" applyNumberFormat="1" applyFont="1" applyBorder="1" applyAlignment="1" applyProtection="1">
      <alignment horizontal="right" vertical="center"/>
      <protection hidden="1"/>
    </xf>
    <xf numFmtId="0" fontId="75" fillId="0" borderId="38" xfId="37" applyFont="1" applyBorder="1" applyAlignment="1" applyProtection="1">
      <alignment vertical="center"/>
      <protection hidden="1"/>
    </xf>
    <xf numFmtId="0" fontId="75" fillId="0" borderId="37" xfId="37" applyFont="1" applyBorder="1" applyAlignment="1" applyProtection="1">
      <alignment vertical="center"/>
      <protection hidden="1"/>
    </xf>
    <xf numFmtId="0" fontId="51" fillId="38" borderId="10" xfId="0" applyFont="1" applyFill="1" applyBorder="1" applyAlignment="1" applyProtection="1">
      <alignment horizontal="center" vertical="center" wrapText="1"/>
      <protection locked="0" hidden="1"/>
    </xf>
    <xf numFmtId="0" fontId="61" fillId="36" borderId="12" xfId="0" applyFont="1" applyFill="1" applyBorder="1" applyAlignment="1" applyProtection="1">
      <alignment horizontal="center" vertical="center"/>
      <protection locked="0"/>
    </xf>
    <xf numFmtId="0" fontId="61" fillId="36" borderId="14" xfId="0" applyFont="1" applyFill="1" applyBorder="1" applyAlignment="1" applyProtection="1">
      <alignment horizontal="center" vertical="center"/>
      <protection locked="0"/>
    </xf>
    <xf numFmtId="0" fontId="51" fillId="38" borderId="12" xfId="0" applyFont="1" applyFill="1" applyBorder="1" applyAlignment="1" applyProtection="1">
      <alignment horizontal="center" vertical="center"/>
      <protection locked="0" hidden="1"/>
    </xf>
    <xf numFmtId="0" fontId="51" fillId="38" borderId="13" xfId="0" applyFont="1" applyFill="1" applyBorder="1" applyAlignment="1" applyProtection="1">
      <alignment horizontal="center" vertical="center"/>
      <protection locked="0" hidden="1"/>
    </xf>
    <xf numFmtId="0" fontId="51" fillId="38" borderId="14" xfId="0" applyFont="1" applyFill="1" applyBorder="1" applyAlignment="1" applyProtection="1">
      <alignment horizontal="center" vertical="center"/>
      <protection locked="0" hidden="1"/>
    </xf>
    <xf numFmtId="0" fontId="44" fillId="0" borderId="10" xfId="0" applyFont="1" applyBorder="1" applyAlignment="1" applyProtection="1">
      <alignment horizontal="center" vertical="center"/>
      <protection locked="0"/>
    </xf>
    <xf numFmtId="1" fontId="6" fillId="0" borderId="10" xfId="0" applyNumberFormat="1" applyFont="1" applyBorder="1" applyAlignment="1" applyProtection="1">
      <alignment horizontal="left" vertical="center"/>
      <protection locked="0"/>
    </xf>
    <xf numFmtId="0" fontId="6" fillId="0" borderId="10" xfId="0" applyFont="1" applyBorder="1" applyAlignment="1" applyProtection="1">
      <alignment horizontal="left" vertical="center"/>
      <protection locked="0"/>
    </xf>
    <xf numFmtId="0" fontId="73" fillId="38" borderId="12" xfId="0" applyFont="1" applyFill="1" applyBorder="1" applyAlignment="1" applyProtection="1">
      <alignment horizontal="center" vertical="center"/>
      <protection locked="0" hidden="1"/>
    </xf>
    <xf numFmtId="0" fontId="73" fillId="38" borderId="14" xfId="0" applyFont="1" applyFill="1" applyBorder="1" applyAlignment="1" applyProtection="1">
      <alignment horizontal="center" vertical="center"/>
      <protection locked="0" hidden="1"/>
    </xf>
    <xf numFmtId="0" fontId="72" fillId="36" borderId="12" xfId="0" applyFont="1" applyFill="1" applyBorder="1" applyAlignment="1" applyProtection="1">
      <alignment horizontal="center" vertical="center"/>
      <protection locked="0"/>
    </xf>
    <xf numFmtId="0" fontId="72" fillId="36" borderId="14" xfId="0" applyFont="1" applyFill="1" applyBorder="1" applyAlignment="1" applyProtection="1">
      <alignment horizontal="center" vertical="center"/>
      <protection locked="0"/>
    </xf>
    <xf numFmtId="0" fontId="44" fillId="36" borderId="10" xfId="0" applyFont="1" applyFill="1" applyBorder="1" applyAlignment="1" applyProtection="1">
      <alignment horizontal="center" vertical="center"/>
      <protection locked="0"/>
    </xf>
    <xf numFmtId="0" fontId="6" fillId="0" borderId="10" xfId="0" applyFont="1" applyBorder="1" applyAlignment="1">
      <alignment horizontal="left" vertical="center"/>
    </xf>
    <xf numFmtId="1" fontId="6" fillId="0" borderId="10" xfId="0" quotePrefix="1" applyNumberFormat="1" applyFont="1" applyBorder="1" applyAlignment="1" applyProtection="1">
      <alignment horizontal="left" vertical="center"/>
      <protection locked="0"/>
    </xf>
    <xf numFmtId="0" fontId="6" fillId="36" borderId="10" xfId="0" applyFont="1" applyFill="1" applyBorder="1" applyAlignment="1" applyProtection="1">
      <alignment horizontal="left" vertical="center"/>
      <protection locked="0"/>
    </xf>
    <xf numFmtId="14" fontId="6" fillId="0" borderId="10" xfId="0" quotePrefix="1" applyNumberFormat="1" applyFont="1" applyBorder="1" applyAlignment="1" applyProtection="1">
      <alignment horizontal="left" vertical="center"/>
      <protection locked="0"/>
    </xf>
    <xf numFmtId="14" fontId="6" fillId="0" borderId="10" xfId="0" applyNumberFormat="1" applyFont="1" applyBorder="1" applyAlignment="1" applyProtection="1">
      <alignment horizontal="left" vertical="center"/>
      <protection locked="0"/>
    </xf>
    <xf numFmtId="0" fontId="6" fillId="36" borderId="10" xfId="0" applyFont="1" applyFill="1" applyBorder="1" applyAlignment="1">
      <alignment horizontal="left" vertical="center"/>
    </xf>
    <xf numFmtId="0" fontId="53" fillId="35" borderId="10" xfId="0" applyFont="1" applyFill="1" applyBorder="1" applyAlignment="1" applyProtection="1">
      <alignment horizontal="center" vertical="center"/>
      <protection hidden="1"/>
    </xf>
    <xf numFmtId="0" fontId="38" fillId="0" borderId="10" xfId="0" applyFont="1" applyBorder="1" applyAlignment="1" applyProtection="1">
      <alignment horizontal="center" textRotation="90" wrapText="1"/>
      <protection hidden="1"/>
    </xf>
    <xf numFmtId="0" fontId="37" fillId="0" borderId="10" xfId="0" applyFont="1" applyBorder="1" applyAlignment="1" applyProtection="1">
      <alignment horizontal="center" vertical="center" wrapText="1"/>
      <protection hidden="1"/>
    </xf>
    <xf numFmtId="0" fontId="41" fillId="0" borderId="0" xfId="0" applyFont="1" applyAlignment="1">
      <alignment horizontal="center" vertical="top"/>
    </xf>
    <xf numFmtId="2" fontId="66" fillId="37" borderId="0" xfId="0" applyNumberFormat="1" applyFont="1" applyFill="1" applyAlignment="1">
      <alignment horizontal="center" vertical="center"/>
    </xf>
    <xf numFmtId="2" fontId="68" fillId="28" borderId="0" xfId="44" applyNumberFormat="1" applyFont="1" applyFill="1" applyBorder="1" applyAlignment="1" applyProtection="1">
      <alignment horizontal="center" vertical="center" wrapText="1"/>
    </xf>
    <xf numFmtId="2" fontId="67" fillId="28" borderId="0" xfId="0" applyNumberFormat="1" applyFont="1" applyFill="1" applyAlignment="1">
      <alignment horizontal="center" vertical="center"/>
    </xf>
    <xf numFmtId="2" fontId="64" fillId="32" borderId="0" xfId="0" applyNumberFormat="1" applyFont="1" applyFill="1" applyAlignment="1">
      <alignment horizontal="center" vertical="center"/>
    </xf>
    <xf numFmtId="2" fontId="43" fillId="27" borderId="11" xfId="0" applyNumberFormat="1" applyFont="1" applyFill="1" applyBorder="1" applyAlignment="1">
      <alignment horizontal="center" vertical="center"/>
    </xf>
    <xf numFmtId="1" fontId="52" fillId="31" borderId="0" xfId="0" applyNumberFormat="1" applyFont="1" applyFill="1" applyAlignment="1">
      <alignment horizontal="center" vertical="center" wrapText="1"/>
    </xf>
    <xf numFmtId="1" fontId="65" fillId="30" borderId="0" xfId="0" applyNumberFormat="1" applyFont="1" applyFill="1" applyAlignment="1">
      <alignment horizontal="center" vertical="center" wrapText="1"/>
    </xf>
    <xf numFmtId="2" fontId="6" fillId="24" borderId="0" xfId="0" applyNumberFormat="1" applyFont="1" applyFill="1" applyAlignment="1">
      <alignment horizontal="right" indent="1"/>
    </xf>
    <xf numFmtId="2" fontId="6" fillId="24" borderId="17" xfId="0" applyNumberFormat="1" applyFont="1" applyFill="1" applyBorder="1" applyAlignment="1">
      <alignment horizontal="right" indent="1"/>
    </xf>
    <xf numFmtId="2" fontId="47" fillId="30" borderId="0" xfId="0" applyNumberFormat="1" applyFont="1" applyFill="1" applyAlignment="1">
      <alignment horizontal="center" vertical="center"/>
    </xf>
    <xf numFmtId="0" fontId="35" fillId="0" borderId="0" xfId="37" applyFont="1" applyAlignment="1">
      <alignment horizontal="center" vertical="center" wrapText="1"/>
    </xf>
    <xf numFmtId="2" fontId="29" fillId="0" borderId="12" xfId="0" applyNumberFormat="1" applyFont="1" applyBorder="1" applyAlignment="1" applyProtection="1">
      <alignment horizontal="left" vertical="center"/>
      <protection hidden="1"/>
    </xf>
    <xf numFmtId="2" fontId="29" fillId="0" borderId="13" xfId="0" applyNumberFormat="1" applyFont="1" applyBorder="1" applyAlignment="1" applyProtection="1">
      <alignment horizontal="left" vertical="center"/>
      <protection hidden="1"/>
    </xf>
    <xf numFmtId="2" fontId="29" fillId="0" borderId="14" xfId="0" applyNumberFormat="1" applyFont="1" applyBorder="1" applyAlignment="1" applyProtection="1">
      <alignment horizontal="left" vertical="center"/>
      <protection hidden="1"/>
    </xf>
    <xf numFmtId="2" fontId="29" fillId="0" borderId="10" xfId="0" applyNumberFormat="1" applyFont="1" applyBorder="1" applyAlignment="1" applyProtection="1">
      <alignment horizontal="left" vertical="center"/>
      <protection hidden="1"/>
    </xf>
    <xf numFmtId="2" fontId="29" fillId="0" borderId="12" xfId="0" applyNumberFormat="1" applyFont="1" applyBorder="1" applyAlignment="1" applyProtection="1">
      <alignment horizontal="right" vertical="center"/>
      <protection hidden="1"/>
    </xf>
    <xf numFmtId="2" fontId="29" fillId="0" borderId="13" xfId="0" applyNumberFormat="1" applyFont="1" applyBorder="1" applyAlignment="1" applyProtection="1">
      <alignment horizontal="right" vertical="center"/>
      <protection hidden="1"/>
    </xf>
    <xf numFmtId="2" fontId="29" fillId="0" borderId="14" xfId="0" applyNumberFormat="1" applyFont="1" applyBorder="1" applyAlignment="1" applyProtection="1">
      <alignment horizontal="right" vertical="center"/>
      <protection hidden="1"/>
    </xf>
    <xf numFmtId="0" fontId="30" fillId="0" borderId="23" xfId="37" applyFont="1" applyBorder="1" applyAlignment="1" applyProtection="1">
      <alignment horizontal="center" vertical="top"/>
      <protection hidden="1"/>
    </xf>
    <xf numFmtId="0" fontId="30" fillId="0" borderId="24" xfId="37" applyFont="1" applyBorder="1" applyAlignment="1" applyProtection="1">
      <alignment horizontal="center" vertical="top"/>
      <protection hidden="1"/>
    </xf>
    <xf numFmtId="0" fontId="30" fillId="0" borderId="25" xfId="37" applyFont="1" applyBorder="1" applyAlignment="1" applyProtection="1">
      <alignment horizontal="center" vertical="top"/>
      <protection hidden="1"/>
    </xf>
    <xf numFmtId="0" fontId="30" fillId="0" borderId="10" xfId="37" applyFont="1" applyBorder="1" applyAlignment="1" applyProtection="1">
      <alignment horizontal="left" vertical="center"/>
      <protection hidden="1"/>
    </xf>
    <xf numFmtId="0" fontId="30" fillId="0" borderId="21" xfId="37" applyFont="1" applyBorder="1" applyAlignment="1" applyProtection="1">
      <alignment horizontal="left" vertical="center"/>
      <protection hidden="1"/>
    </xf>
    <xf numFmtId="0" fontId="34" fillId="0" borderId="10" xfId="37" applyFont="1" applyBorder="1" applyAlignment="1" applyProtection="1">
      <alignment horizontal="center" vertical="center"/>
      <protection hidden="1"/>
    </xf>
    <xf numFmtId="0" fontId="34" fillId="0" borderId="12" xfId="37" applyFont="1" applyBorder="1" applyAlignment="1" applyProtection="1">
      <alignment horizontal="center" vertical="center"/>
      <protection hidden="1"/>
    </xf>
    <xf numFmtId="0" fontId="34" fillId="0" borderId="13" xfId="37" applyFont="1" applyBorder="1" applyAlignment="1" applyProtection="1">
      <alignment horizontal="center" vertical="center"/>
      <protection hidden="1"/>
    </xf>
    <xf numFmtId="0" fontId="34" fillId="0" borderId="14" xfId="37" applyFont="1" applyBorder="1" applyAlignment="1" applyProtection="1">
      <alignment horizontal="center" vertical="center"/>
      <protection hidden="1"/>
    </xf>
    <xf numFmtId="0" fontId="31" fillId="0" borderId="12" xfId="37" applyFont="1" applyBorder="1" applyAlignment="1" applyProtection="1">
      <alignment horizontal="center" vertical="center"/>
      <protection hidden="1"/>
    </xf>
    <xf numFmtId="0" fontId="31" fillId="0" borderId="13" xfId="37" applyFont="1" applyBorder="1" applyAlignment="1" applyProtection="1">
      <alignment horizontal="center" vertical="center"/>
      <protection hidden="1"/>
    </xf>
    <xf numFmtId="0" fontId="31" fillId="0" borderId="14" xfId="37" applyFont="1" applyBorder="1" applyAlignment="1" applyProtection="1">
      <alignment horizontal="center" vertical="center"/>
      <protection hidden="1"/>
    </xf>
    <xf numFmtId="9" fontId="31" fillId="0" borderId="10" xfId="37" applyNumberFormat="1" applyFont="1" applyBorder="1" applyAlignment="1" applyProtection="1">
      <alignment horizontal="center" vertical="center"/>
      <protection hidden="1"/>
    </xf>
    <xf numFmtId="0" fontId="31" fillId="0" borderId="10" xfId="37" applyFont="1" applyBorder="1" applyAlignment="1" applyProtection="1">
      <alignment horizontal="center" vertical="center"/>
      <protection hidden="1"/>
    </xf>
    <xf numFmtId="0" fontId="63" fillId="0" borderId="0" xfId="37" applyFont="1" applyAlignment="1">
      <alignment horizontal="center" vertical="top" wrapText="1"/>
    </xf>
    <xf numFmtId="0" fontId="29" fillId="0" borderId="12" xfId="37" applyFont="1" applyBorder="1" applyAlignment="1" applyProtection="1">
      <alignment horizontal="center" vertical="center" wrapText="1"/>
      <protection hidden="1"/>
    </xf>
    <xf numFmtId="0" fontId="29" fillId="0" borderId="26" xfId="37" applyFont="1" applyBorder="1" applyAlignment="1" applyProtection="1">
      <alignment horizontal="center" vertical="center" wrapText="1"/>
      <protection hidden="1"/>
    </xf>
    <xf numFmtId="0" fontId="30" fillId="0" borderId="10" xfId="37" applyFont="1" applyBorder="1" applyAlignment="1" applyProtection="1">
      <alignment horizontal="center" vertical="center" wrapText="1"/>
      <protection hidden="1"/>
    </xf>
    <xf numFmtId="2" fontId="30" fillId="0" borderId="12" xfId="37" applyNumberFormat="1" applyFont="1" applyBorder="1" applyAlignment="1" applyProtection="1">
      <alignment horizontal="right" vertical="center" wrapText="1"/>
      <protection hidden="1"/>
    </xf>
    <xf numFmtId="2" fontId="30" fillId="0" borderId="26" xfId="37" applyNumberFormat="1" applyFont="1" applyBorder="1" applyAlignment="1" applyProtection="1">
      <alignment horizontal="right" vertical="center" wrapText="1"/>
      <protection hidden="1"/>
    </xf>
    <xf numFmtId="0" fontId="27" fillId="0" borderId="27" xfId="37" applyFont="1" applyBorder="1" applyAlignment="1" applyProtection="1">
      <alignment horizontal="right" vertical="center"/>
      <protection hidden="1"/>
    </xf>
    <xf numFmtId="0" fontId="27" fillId="0" borderId="28" xfId="37" applyFont="1" applyBorder="1" applyAlignment="1" applyProtection="1">
      <alignment horizontal="right" vertical="center"/>
      <protection hidden="1"/>
    </xf>
    <xf numFmtId="0" fontId="30" fillId="0" borderId="12" xfId="37" applyFont="1" applyBorder="1" applyAlignment="1" applyProtection="1">
      <alignment horizontal="left" vertical="center"/>
      <protection hidden="1"/>
    </xf>
    <xf numFmtId="0" fontId="30" fillId="0" borderId="13" xfId="37" applyFont="1" applyBorder="1" applyAlignment="1" applyProtection="1">
      <alignment horizontal="left" vertical="center"/>
      <protection hidden="1"/>
    </xf>
    <xf numFmtId="0" fontId="30" fillId="0" borderId="14" xfId="37" applyFont="1" applyBorder="1" applyAlignment="1" applyProtection="1">
      <alignment horizontal="left" vertical="center"/>
      <protection hidden="1"/>
    </xf>
    <xf numFmtId="0" fontId="29" fillId="0" borderId="10" xfId="37" applyFont="1" applyBorder="1" applyAlignment="1" applyProtection="1">
      <alignment horizontal="left" vertical="center"/>
      <protection hidden="1"/>
    </xf>
    <xf numFmtId="0" fontId="60" fillId="0" borderId="10" xfId="37" applyFont="1" applyBorder="1" applyAlignment="1" applyProtection="1">
      <alignment horizontal="center" vertical="center" wrapText="1"/>
      <protection hidden="1"/>
    </xf>
    <xf numFmtId="0" fontId="29" fillId="0" borderId="14" xfId="37" applyFont="1" applyBorder="1" applyAlignment="1" applyProtection="1">
      <alignment horizontal="center" vertical="center" wrapText="1"/>
      <protection hidden="1"/>
    </xf>
    <xf numFmtId="0" fontId="29" fillId="0" borderId="18" xfId="37" applyFont="1" applyBorder="1" applyAlignment="1" applyProtection="1">
      <alignment horizontal="center" wrapText="1"/>
      <protection hidden="1"/>
    </xf>
    <xf numFmtId="0" fontId="29" fillId="0" borderId="17" xfId="37" applyFont="1" applyBorder="1" applyAlignment="1" applyProtection="1">
      <alignment horizontal="center" wrapText="1"/>
      <protection hidden="1"/>
    </xf>
    <xf numFmtId="0" fontId="29" fillId="0" borderId="19" xfId="37" applyFont="1" applyBorder="1" applyAlignment="1" applyProtection="1">
      <alignment horizontal="center" wrapText="1"/>
      <protection hidden="1"/>
    </xf>
    <xf numFmtId="0" fontId="29" fillId="0" borderId="16" xfId="37" applyFont="1" applyBorder="1" applyAlignment="1" applyProtection="1">
      <alignment horizontal="center" wrapText="1"/>
      <protection hidden="1"/>
    </xf>
    <xf numFmtId="0" fontId="29" fillId="0" borderId="11" xfId="37" applyFont="1" applyBorder="1" applyAlignment="1" applyProtection="1">
      <alignment horizontal="center" wrapText="1"/>
      <protection hidden="1"/>
    </xf>
    <xf numFmtId="0" fontId="29" fillId="0" borderId="20" xfId="37" applyFont="1" applyBorder="1" applyAlignment="1" applyProtection="1">
      <alignment horizontal="center" wrapText="1"/>
      <protection hidden="1"/>
    </xf>
    <xf numFmtId="0" fontId="57" fillId="0" borderId="10" xfId="37" applyFont="1" applyBorder="1" applyAlignment="1" applyProtection="1">
      <alignment horizontal="left" vertical="top" wrapText="1"/>
      <protection hidden="1"/>
    </xf>
    <xf numFmtId="0" fontId="30" fillId="0" borderId="10" xfId="37" applyFont="1" applyBorder="1" applyAlignment="1" applyProtection="1">
      <alignment horizontal="right" vertical="center"/>
      <protection hidden="1"/>
    </xf>
    <xf numFmtId="0" fontId="31" fillId="0" borderId="12" xfId="37" applyFont="1" applyBorder="1" applyAlignment="1" applyProtection="1">
      <alignment horizontal="left" vertical="top" wrapText="1"/>
      <protection hidden="1"/>
    </xf>
    <xf numFmtId="0" fontId="31" fillId="0" borderId="13" xfId="37" applyFont="1" applyBorder="1" applyAlignment="1" applyProtection="1">
      <alignment horizontal="left" vertical="top" wrapText="1"/>
      <protection hidden="1"/>
    </xf>
    <xf numFmtId="0" fontId="31" fillId="0" borderId="14" xfId="37" applyFont="1" applyBorder="1" applyAlignment="1" applyProtection="1">
      <alignment horizontal="left" vertical="top" wrapText="1"/>
      <protection hidden="1"/>
    </xf>
    <xf numFmtId="0" fontId="34" fillId="0" borderId="10" xfId="37" applyFont="1" applyBorder="1" applyAlignment="1" applyProtection="1">
      <alignment horizontal="left" vertical="center"/>
      <protection hidden="1"/>
    </xf>
    <xf numFmtId="0" fontId="34" fillId="0" borderId="21" xfId="37" applyFont="1" applyBorder="1" applyAlignment="1" applyProtection="1">
      <alignment horizontal="left" vertical="center"/>
      <protection hidden="1"/>
    </xf>
    <xf numFmtId="0" fontId="31" fillId="0" borderId="10" xfId="37" applyFont="1" applyBorder="1" applyAlignment="1" applyProtection="1">
      <alignment horizontal="left" vertical="center" wrapText="1"/>
      <protection hidden="1"/>
    </xf>
    <xf numFmtId="0" fontId="31" fillId="0" borderId="12" xfId="37" applyFont="1" applyBorder="1" applyAlignment="1" applyProtection="1">
      <alignment horizontal="left" vertical="center" wrapText="1"/>
      <protection hidden="1"/>
    </xf>
    <xf numFmtId="0" fontId="31" fillId="0" borderId="13" xfId="37" applyFont="1" applyBorder="1" applyAlignment="1" applyProtection="1">
      <alignment horizontal="left" vertical="center" wrapText="1"/>
      <protection hidden="1"/>
    </xf>
    <xf numFmtId="0" fontId="31" fillId="0" borderId="14" xfId="37" applyFont="1" applyBorder="1" applyAlignment="1" applyProtection="1">
      <alignment horizontal="left" vertical="center" wrapText="1"/>
      <protection hidden="1"/>
    </xf>
    <xf numFmtId="0" fontId="31" fillId="0" borderId="10" xfId="37" applyFont="1" applyBorder="1" applyAlignment="1" applyProtection="1">
      <alignment horizontal="left" vertical="top" wrapText="1"/>
      <protection hidden="1"/>
    </xf>
    <xf numFmtId="0" fontId="25" fillId="0" borderId="10" xfId="37" applyFont="1" applyBorder="1" applyAlignment="1" applyProtection="1">
      <alignment horizontal="left" vertical="top" wrapText="1"/>
      <protection hidden="1"/>
    </xf>
    <xf numFmtId="0" fontId="56" fillId="0" borderId="12" xfId="37" applyFont="1" applyBorder="1" applyAlignment="1" applyProtection="1">
      <alignment horizontal="left" vertical="top" wrapText="1"/>
      <protection hidden="1"/>
    </xf>
    <xf numFmtId="0" fontId="56" fillId="0" borderId="13" xfId="37" applyFont="1" applyBorder="1" applyAlignment="1" applyProtection="1">
      <alignment horizontal="left" vertical="top" wrapText="1"/>
      <protection hidden="1"/>
    </xf>
    <xf numFmtId="0" fontId="56" fillId="0" borderId="14" xfId="37" applyFont="1" applyBorder="1" applyAlignment="1" applyProtection="1">
      <alignment horizontal="left" vertical="top" wrapText="1"/>
      <protection hidden="1"/>
    </xf>
    <xf numFmtId="0" fontId="71" fillId="0" borderId="0" xfId="37" applyFont="1" applyAlignment="1" applyProtection="1">
      <alignment horizontal="center" vertical="center"/>
      <protection hidden="1"/>
    </xf>
    <xf numFmtId="0" fontId="61" fillId="0" borderId="0" xfId="37" applyFont="1" applyAlignment="1" applyProtection="1">
      <alignment horizontal="center" vertical="center"/>
      <protection hidden="1"/>
    </xf>
    <xf numFmtId="0" fontId="30" fillId="0" borderId="31" xfId="37" applyFont="1" applyBorder="1" applyAlignment="1" applyProtection="1">
      <alignment horizontal="left" vertical="center"/>
      <protection hidden="1"/>
    </xf>
    <xf numFmtId="0" fontId="30" fillId="0" borderId="32" xfId="37" applyFont="1" applyBorder="1" applyAlignment="1" applyProtection="1">
      <alignment horizontal="left" vertical="center"/>
      <protection hidden="1"/>
    </xf>
    <xf numFmtId="0" fontId="28" fillId="0" borderId="33" xfId="37" applyFont="1" applyBorder="1" applyAlignment="1" applyProtection="1">
      <alignment horizontal="center" vertical="center"/>
      <protection hidden="1"/>
    </xf>
    <xf numFmtId="0" fontId="28" fillId="0" borderId="34" xfId="37" applyFont="1" applyBorder="1" applyAlignment="1" applyProtection="1">
      <alignment horizontal="center" vertical="center"/>
      <protection hidden="1"/>
    </xf>
    <xf numFmtId="0" fontId="30" fillId="0" borderId="15" xfId="37" applyFont="1" applyBorder="1" applyAlignment="1" applyProtection="1">
      <alignment horizontal="left" vertical="center"/>
      <protection hidden="1"/>
    </xf>
    <xf numFmtId="0" fontId="36" fillId="0" borderId="10" xfId="37" applyFont="1" applyBorder="1" applyAlignment="1" applyProtection="1">
      <alignment horizontal="left" vertical="center"/>
      <protection hidden="1"/>
    </xf>
    <xf numFmtId="0" fontId="30" fillId="0" borderId="12" xfId="37" applyFont="1" applyBorder="1" applyAlignment="1" applyProtection="1">
      <alignment horizontal="right" vertical="center"/>
      <protection hidden="1"/>
    </xf>
    <xf numFmtId="0" fontId="30" fillId="0" borderId="13" xfId="37" applyFont="1" applyBorder="1" applyAlignment="1" applyProtection="1">
      <alignment horizontal="right" vertical="center"/>
      <protection hidden="1"/>
    </xf>
    <xf numFmtId="0" fontId="30" fillId="0" borderId="14" xfId="37" applyFont="1" applyBorder="1" applyAlignment="1" applyProtection="1">
      <alignment horizontal="right" vertical="center"/>
      <protection hidden="1"/>
    </xf>
    <xf numFmtId="0" fontId="1" fillId="0" borderId="12" xfId="37" applyFont="1" applyBorder="1" applyAlignment="1" applyProtection="1">
      <alignment horizontal="left" vertical="center"/>
      <protection hidden="1"/>
    </xf>
    <xf numFmtId="0" fontId="1" fillId="0" borderId="13" xfId="37" applyFont="1" applyBorder="1" applyAlignment="1" applyProtection="1">
      <alignment horizontal="left" vertical="center"/>
      <protection hidden="1"/>
    </xf>
    <xf numFmtId="2" fontId="30" fillId="0" borderId="10" xfId="37" applyNumberFormat="1" applyFont="1" applyBorder="1" applyAlignment="1" applyProtection="1">
      <alignment horizontal="center" vertical="center"/>
      <protection hidden="1"/>
    </xf>
    <xf numFmtId="0" fontId="26" fillId="0" borderId="12" xfId="37" applyFont="1" applyBorder="1" applyAlignment="1" applyProtection="1">
      <alignment horizontal="left" vertical="center"/>
      <protection hidden="1"/>
    </xf>
    <xf numFmtId="0" fontId="34" fillId="0" borderId="32" xfId="38" applyFont="1" applyBorder="1" applyAlignment="1" applyProtection="1">
      <alignment horizontal="left" vertical="center"/>
      <protection hidden="1"/>
    </xf>
    <xf numFmtId="0" fontId="34" fillId="0" borderId="32" xfId="37" applyFont="1" applyBorder="1" applyAlignment="1" applyProtection="1">
      <alignment horizontal="center" vertical="center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0" fontId="39" fillId="0" borderId="0" xfId="37" applyFont="1" applyAlignment="1">
      <alignment horizontal="center"/>
    </xf>
    <xf numFmtId="0" fontId="25" fillId="0" borderId="10" xfId="37" applyFont="1" applyBorder="1" applyAlignment="1" applyProtection="1">
      <alignment horizontal="center" vertical="center"/>
      <protection hidden="1"/>
    </xf>
    <xf numFmtId="0" fontId="25" fillId="0" borderId="21" xfId="37" applyFont="1" applyBorder="1" applyAlignment="1" applyProtection="1">
      <alignment horizontal="center" vertical="center"/>
      <protection hidden="1"/>
    </xf>
    <xf numFmtId="0" fontId="36" fillId="0" borderId="12" xfId="37" applyFont="1" applyBorder="1" applyAlignment="1" applyProtection="1">
      <alignment horizontal="center" vertical="top" wrapText="1"/>
      <protection hidden="1"/>
    </xf>
    <xf numFmtId="0" fontId="36" fillId="0" borderId="13" xfId="37" applyFont="1" applyBorder="1" applyAlignment="1" applyProtection="1">
      <alignment horizontal="center" vertical="top" wrapText="1"/>
      <protection hidden="1"/>
    </xf>
    <xf numFmtId="0" fontId="36" fillId="0" borderId="14" xfId="37" applyFont="1" applyBorder="1" applyAlignment="1" applyProtection="1">
      <alignment horizontal="center" vertical="top" wrapText="1"/>
      <protection hidden="1"/>
    </xf>
    <xf numFmtId="0" fontId="30" fillId="0" borderId="10" xfId="37" applyFont="1" applyBorder="1" applyAlignment="1" applyProtection="1">
      <alignment horizontal="center" vertical="center"/>
      <protection hidden="1"/>
    </xf>
    <xf numFmtId="0" fontId="25" fillId="0" borderId="13" xfId="37" applyFont="1" applyBorder="1" applyAlignment="1" applyProtection="1">
      <alignment horizontal="left" vertical="top" wrapText="1"/>
      <protection hidden="1"/>
    </xf>
    <xf numFmtId="0" fontId="25" fillId="0" borderId="14" xfId="37" applyFont="1" applyBorder="1" applyAlignment="1" applyProtection="1">
      <alignment horizontal="left" vertical="top" wrapText="1"/>
      <protection hidden="1"/>
    </xf>
    <xf numFmtId="2" fontId="30" fillId="0" borderId="12" xfId="37" applyNumberFormat="1" applyFont="1" applyBorder="1" applyAlignment="1" applyProtection="1">
      <alignment horizontal="center" vertical="center"/>
      <protection hidden="1"/>
    </xf>
    <xf numFmtId="2" fontId="30" fillId="0" borderId="13" xfId="37" applyNumberFormat="1" applyFont="1" applyBorder="1" applyAlignment="1" applyProtection="1">
      <alignment horizontal="center" vertical="center"/>
      <protection hidden="1"/>
    </xf>
    <xf numFmtId="2" fontId="30" fillId="0" borderId="14" xfId="37" applyNumberFormat="1" applyFont="1" applyBorder="1" applyAlignment="1" applyProtection="1">
      <alignment horizontal="center" vertical="center"/>
      <protection hidden="1"/>
    </xf>
    <xf numFmtId="0" fontId="29" fillId="0" borderId="21" xfId="37" applyFont="1" applyBorder="1" applyAlignment="1" applyProtection="1">
      <alignment horizontal="left" vertical="center"/>
      <protection hidden="1"/>
    </xf>
    <xf numFmtId="0" fontId="29" fillId="0" borderId="12" xfId="37" applyFont="1" applyBorder="1" applyAlignment="1" applyProtection="1">
      <alignment horizontal="right" vertical="center"/>
      <protection hidden="1"/>
    </xf>
    <xf numFmtId="0" fontId="29" fillId="0" borderId="13" xfId="37" applyFont="1" applyBorder="1" applyAlignment="1" applyProtection="1">
      <alignment horizontal="right" vertical="center"/>
      <protection hidden="1"/>
    </xf>
    <xf numFmtId="0" fontId="29" fillId="0" borderId="14" xfId="37" applyFont="1" applyBorder="1" applyAlignment="1" applyProtection="1">
      <alignment horizontal="right" vertical="center"/>
      <protection hidden="1"/>
    </xf>
    <xf numFmtId="0" fontId="30" fillId="0" borderId="0" xfId="37" applyFont="1" applyAlignment="1">
      <alignment horizontal="center"/>
    </xf>
    <xf numFmtId="0" fontId="34" fillId="0" borderId="12" xfId="37" applyFont="1" applyBorder="1" applyAlignment="1" applyProtection="1">
      <alignment horizontal="left" vertical="center"/>
      <protection hidden="1"/>
    </xf>
    <xf numFmtId="0" fontId="34" fillId="0" borderId="13" xfId="37" applyFont="1" applyBorder="1" applyAlignment="1" applyProtection="1">
      <alignment horizontal="left" vertical="center"/>
      <protection hidden="1"/>
    </xf>
    <xf numFmtId="0" fontId="34" fillId="0" borderId="14" xfId="37" applyFont="1" applyBorder="1" applyAlignment="1" applyProtection="1">
      <alignment horizontal="left" vertical="center"/>
      <protection hidden="1"/>
    </xf>
    <xf numFmtId="0" fontId="34" fillId="0" borderId="12" xfId="37" applyFont="1" applyBorder="1" applyAlignment="1" applyProtection="1">
      <alignment horizontal="left" vertical="center" wrapText="1"/>
      <protection hidden="1"/>
    </xf>
    <xf numFmtId="0" fontId="34" fillId="0" borderId="13" xfId="37" applyFont="1" applyBorder="1" applyAlignment="1" applyProtection="1">
      <alignment horizontal="left" vertical="center" wrapText="1"/>
      <protection hidden="1"/>
    </xf>
    <xf numFmtId="0" fontId="34" fillId="0" borderId="14" xfId="37" applyFont="1" applyBorder="1" applyAlignment="1" applyProtection="1">
      <alignment horizontal="left" vertical="center" wrapText="1"/>
      <protection hidden="1"/>
    </xf>
    <xf numFmtId="0" fontId="59" fillId="0" borderId="12" xfId="37" applyFont="1" applyBorder="1" applyAlignment="1" applyProtection="1">
      <alignment horizontal="right" vertical="center"/>
      <protection hidden="1"/>
    </xf>
    <xf numFmtId="0" fontId="59" fillId="0" borderId="13" xfId="37" applyFont="1" applyBorder="1" applyAlignment="1" applyProtection="1">
      <alignment horizontal="right" vertical="center"/>
      <protection hidden="1"/>
    </xf>
    <xf numFmtId="0" fontId="59" fillId="0" borderId="14" xfId="37" applyFont="1" applyBorder="1" applyAlignment="1" applyProtection="1">
      <alignment horizontal="right" vertical="center"/>
      <protection hidden="1"/>
    </xf>
    <xf numFmtId="0" fontId="30" fillId="0" borderId="22" xfId="37" applyFont="1" applyBorder="1" applyAlignment="1" applyProtection="1">
      <alignment horizontal="center" vertical="top"/>
      <protection hidden="1"/>
    </xf>
    <xf numFmtId="0" fontId="30" fillId="0" borderId="12" xfId="37" applyFont="1" applyBorder="1" applyAlignment="1" applyProtection="1">
      <alignment horizontal="center" vertical="center"/>
      <protection hidden="1"/>
    </xf>
    <xf numFmtId="0" fontId="30" fillId="0" borderId="13" xfId="37" applyFont="1" applyBorder="1" applyAlignment="1" applyProtection="1">
      <alignment horizontal="center" vertical="center"/>
      <protection hidden="1"/>
    </xf>
    <xf numFmtId="0" fontId="30" fillId="0" borderId="14" xfId="37" applyFont="1" applyBorder="1" applyAlignment="1" applyProtection="1">
      <alignment horizontal="center" vertical="center"/>
      <protection hidden="1"/>
    </xf>
    <xf numFmtId="0" fontId="30" fillId="0" borderId="18" xfId="37" applyFont="1" applyBorder="1" applyAlignment="1" applyProtection="1">
      <alignment horizontal="left" vertical="center" wrapText="1"/>
      <protection hidden="1"/>
    </xf>
    <xf numFmtId="0" fontId="30" fillId="0" borderId="19" xfId="37" applyFont="1" applyBorder="1" applyAlignment="1" applyProtection="1">
      <alignment horizontal="left" vertical="center" wrapText="1"/>
      <protection hidden="1"/>
    </xf>
    <xf numFmtId="0" fontId="30" fillId="0" borderId="16" xfId="37" applyFont="1" applyBorder="1" applyAlignment="1" applyProtection="1">
      <alignment horizontal="left" vertical="center" wrapText="1"/>
      <protection hidden="1"/>
    </xf>
    <xf numFmtId="0" fontId="30" fillId="0" borderId="20" xfId="37" applyFont="1" applyBorder="1" applyAlignment="1" applyProtection="1">
      <alignment horizontal="left" vertical="center" wrapText="1"/>
      <protection hidden="1"/>
    </xf>
    <xf numFmtId="0" fontId="31" fillId="0" borderId="12" xfId="37" applyFont="1" applyBorder="1" applyAlignment="1" applyProtection="1">
      <alignment horizontal="left" vertical="center"/>
      <protection hidden="1"/>
    </xf>
    <xf numFmtId="0" fontId="31" fillId="0" borderId="13" xfId="37" applyFont="1" applyBorder="1" applyAlignment="1" applyProtection="1">
      <alignment horizontal="left" vertical="center"/>
      <protection hidden="1"/>
    </xf>
    <xf numFmtId="0" fontId="31" fillId="0" borderId="14" xfId="37" applyFont="1" applyBorder="1" applyAlignment="1" applyProtection="1">
      <alignment horizontal="left" vertical="center"/>
      <protection hidden="1"/>
    </xf>
    <xf numFmtId="9" fontId="31" fillId="0" borderId="12" xfId="37" applyNumberFormat="1" applyFont="1" applyBorder="1" applyAlignment="1" applyProtection="1">
      <alignment horizontal="center" vertical="center"/>
      <protection hidden="1"/>
    </xf>
    <xf numFmtId="9" fontId="31" fillId="0" borderId="14" xfId="37" applyNumberFormat="1" applyFont="1" applyBorder="1" applyAlignment="1" applyProtection="1">
      <alignment horizontal="center" vertical="center"/>
      <protection hidden="1"/>
    </xf>
    <xf numFmtId="2" fontId="40" fillId="0" borderId="12" xfId="0" applyNumberFormat="1" applyFont="1" applyBorder="1" applyAlignment="1" applyProtection="1">
      <alignment horizontal="left" vertical="center" wrapText="1"/>
      <protection hidden="1"/>
    </xf>
    <xf numFmtId="2" fontId="40" fillId="0" borderId="13" xfId="0" applyNumberFormat="1" applyFont="1" applyBorder="1" applyAlignment="1" applyProtection="1">
      <alignment horizontal="left" vertical="center" wrapText="1"/>
      <protection hidden="1"/>
    </xf>
    <xf numFmtId="2" fontId="40" fillId="0" borderId="14" xfId="0" applyNumberFormat="1" applyFont="1" applyBorder="1" applyAlignment="1" applyProtection="1">
      <alignment horizontal="left" vertical="center" wrapText="1"/>
      <protection hidden="1"/>
    </xf>
  </cellXfs>
  <cellStyles count="4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 xr:uid="{00000000-0005-0000-0000-000026000000}"/>
    <cellStyle name="Normal 3" xfId="45" xr:uid="{00000000-0005-0000-0000-000027000000}"/>
    <cellStyle name="Normal_pay 2008-09" xfId="38" xr:uid="{00000000-0005-0000-0000-000028000000}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FFFF00"/>
      <color rgb="FF33CCCC"/>
      <color rgb="FF0000FF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78442</xdr:colOff>
      <xdr:row>48</xdr:row>
      <xdr:rowOff>44824</xdr:rowOff>
    </xdr:from>
    <xdr:to>
      <xdr:col>19</xdr:col>
      <xdr:colOff>91916</xdr:colOff>
      <xdr:row>48</xdr:row>
      <xdr:rowOff>47210</xdr:rowOff>
    </xdr:to>
    <xdr:pic>
      <xdr:nvPicPr>
        <xdr:cNvPr id="11" name="Picture 10" descr="RAJTEACHERS.NET-removebg-preview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1" y="10802471"/>
          <a:ext cx="3023822" cy="627530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190501</xdr:colOff>
      <xdr:row>42</xdr:row>
      <xdr:rowOff>68639</xdr:rowOff>
    </xdr:from>
    <xdr:to>
      <xdr:col>18</xdr:col>
      <xdr:colOff>347383</xdr:colOff>
      <xdr:row>47</xdr:row>
      <xdr:rowOff>71809</xdr:rowOff>
    </xdr:to>
    <xdr:pic>
      <xdr:nvPicPr>
        <xdr:cNvPr id="9" name="Picture 8" descr="RAJTEACHERS.NET-removebg-preview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03095" y="9796045"/>
          <a:ext cx="2847694" cy="8366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C00000"/>
  </sheetPr>
  <dimension ref="A1:AG49"/>
  <sheetViews>
    <sheetView showGridLines="0" tabSelected="1" topLeftCell="A20" zoomScale="85" zoomScaleNormal="85" workbookViewId="0">
      <selection activeCell="D38" sqref="D38"/>
    </sheetView>
  </sheetViews>
  <sheetFormatPr defaultColWidth="0" defaultRowHeight="12.75" zeroHeight="1"/>
  <cols>
    <col min="1" max="1" width="1" style="22" customWidth="1" collapsed="1"/>
    <col min="2" max="2" width="11.7109375" style="3" hidden="1" customWidth="1" collapsed="1"/>
    <col min="3" max="3" width="14.5703125" style="3" customWidth="1" collapsed="1"/>
    <col min="4" max="4" width="10.28515625" style="3" customWidth="1" collapsed="1"/>
    <col min="5" max="7" width="5" style="3" customWidth="1" collapsed="1"/>
    <col min="8" max="8" width="8.85546875" style="3" customWidth="1" collapsed="1"/>
    <col min="9" max="9" width="9.42578125" style="3" customWidth="1" collapsed="1"/>
    <col min="10" max="10" width="5" style="3" customWidth="1" collapsed="1"/>
    <col min="11" max="13" width="6" style="3" customWidth="1" collapsed="1"/>
    <col min="14" max="14" width="14.140625" style="3" customWidth="1" collapsed="1"/>
    <col min="15" max="15" width="8.7109375" style="3" customWidth="1" collapsed="1"/>
    <col min="16" max="16" width="8.7109375" style="3" hidden="1" customWidth="1"/>
    <col min="17" max="17" width="8.5703125" style="3" customWidth="1" collapsed="1"/>
    <col min="18" max="18" width="8.85546875" style="3" customWidth="1" collapsed="1"/>
    <col min="19" max="19" width="8.28515625" style="3" customWidth="1" collapsed="1"/>
    <col min="20" max="20" width="6.42578125" style="3" bestFit="1" customWidth="1" collapsed="1"/>
    <col min="21" max="22" width="6" style="3" customWidth="1" collapsed="1"/>
    <col min="23" max="23" width="8.42578125" style="3" customWidth="1" collapsed="1"/>
    <col min="24" max="24" width="6" style="3" customWidth="1" collapsed="1"/>
    <col min="25" max="25" width="11.5703125" style="3" customWidth="1" collapsed="1"/>
    <col min="26" max="26" width="14.5703125" style="3" customWidth="1" collapsed="1"/>
    <col min="27" max="27" width="19.5703125" style="3" customWidth="1" collapsed="1"/>
    <col min="28" max="28" width="0.28515625" style="61" hidden="1" customWidth="1"/>
    <col min="29" max="29" width="11.42578125" style="61" hidden="1" customWidth="1"/>
    <col min="30" max="30" width="18.140625" style="61" hidden="1" customWidth="1"/>
    <col min="31" max="33" width="0" style="3" hidden="1" customWidth="1"/>
    <col min="34" max="16384" width="9.140625" style="3" hidden="1" collapsed="1"/>
  </cols>
  <sheetData>
    <row r="1" spans="3:27" ht="21" hidden="1" customHeight="1">
      <c r="C1" s="71"/>
      <c r="D1" s="72"/>
      <c r="E1" s="73"/>
      <c r="F1" s="73"/>
      <c r="G1" s="73"/>
      <c r="H1" s="73"/>
      <c r="I1" s="73"/>
      <c r="J1" s="74"/>
      <c r="K1" s="74"/>
      <c r="L1" s="74"/>
      <c r="M1" s="75"/>
      <c r="N1" s="17"/>
      <c r="O1" s="73"/>
      <c r="P1" s="73"/>
      <c r="Q1" s="76"/>
      <c r="R1" s="77"/>
      <c r="S1" s="77"/>
      <c r="T1" s="77"/>
      <c r="U1" s="77"/>
      <c r="V1" s="77"/>
      <c r="W1" s="74"/>
      <c r="X1" s="74"/>
      <c r="Y1" s="74"/>
      <c r="Z1" s="78"/>
      <c r="AA1" s="78"/>
    </row>
    <row r="2" spans="3:27" ht="44.25" hidden="1" customHeight="1">
      <c r="C2" s="71"/>
      <c r="D2" s="87"/>
      <c r="E2" s="88"/>
      <c r="F2" s="88"/>
      <c r="G2" s="88"/>
      <c r="H2" s="88"/>
      <c r="I2" s="88"/>
      <c r="J2" s="89"/>
      <c r="K2" s="89"/>
      <c r="L2" s="89"/>
      <c r="M2" s="90"/>
      <c r="N2" s="17"/>
      <c r="O2" s="88"/>
      <c r="P2" s="88"/>
      <c r="Q2" s="76"/>
      <c r="R2" s="80"/>
      <c r="S2" s="80"/>
      <c r="T2" s="80"/>
      <c r="U2" s="80"/>
      <c r="V2" s="80"/>
      <c r="W2" s="74"/>
      <c r="X2" s="74" t="str">
        <f>Y2&amp;" / "&amp;Z2</f>
        <v>RURAL / 1800</v>
      </c>
      <c r="Y2" s="74" t="s">
        <v>66</v>
      </c>
      <c r="Z2" s="75">
        <v>1800</v>
      </c>
      <c r="AA2" s="17">
        <v>730</v>
      </c>
    </row>
    <row r="3" spans="3:27" ht="26.25" hidden="1" customHeight="1">
      <c r="C3" s="71"/>
      <c r="D3" s="87"/>
      <c r="E3" s="88"/>
      <c r="F3" s="88"/>
      <c r="G3" s="88"/>
      <c r="H3" s="88"/>
      <c r="I3" s="88"/>
      <c r="J3" s="89"/>
      <c r="K3" s="89"/>
      <c r="L3" s="89"/>
      <c r="M3" s="90"/>
      <c r="N3" s="17"/>
      <c r="O3" s="74" t="str">
        <f>Q3&amp;" / "&amp;R3</f>
        <v>Yes / Yes</v>
      </c>
      <c r="P3" s="74"/>
      <c r="Q3" s="97" t="s">
        <v>46</v>
      </c>
      <c r="R3" s="97" t="s">
        <v>46</v>
      </c>
      <c r="S3" s="80">
        <v>0</v>
      </c>
      <c r="T3" s="80"/>
      <c r="U3" s="80"/>
      <c r="V3" s="80"/>
      <c r="W3" s="74"/>
      <c r="X3" s="74" t="str">
        <f t="shared" ref="X3:X13" si="0">Y3&amp;" / "&amp;Z3</f>
        <v>RURAL / 1900</v>
      </c>
      <c r="Y3" s="74" t="s">
        <v>66</v>
      </c>
      <c r="Z3" s="75">
        <v>1900</v>
      </c>
      <c r="AA3" s="17">
        <v>770</v>
      </c>
    </row>
    <row r="4" spans="3:27" ht="38.25" hidden="1" customHeight="1">
      <c r="C4" s="79"/>
      <c r="D4" s="87"/>
      <c r="E4" s="88"/>
      <c r="F4" s="88"/>
      <c r="G4" s="88"/>
      <c r="H4" s="88"/>
      <c r="I4" s="88"/>
      <c r="J4" s="89"/>
      <c r="K4" s="89"/>
      <c r="L4" s="89"/>
      <c r="M4" s="90"/>
      <c r="N4" s="17"/>
      <c r="O4" s="74" t="str">
        <f t="shared" ref="O4:O6" si="1">Q4&amp;" / "&amp;R4</f>
        <v>Yes / No</v>
      </c>
      <c r="P4" s="74"/>
      <c r="Q4" s="76" t="s">
        <v>46</v>
      </c>
      <c r="R4" s="80" t="s">
        <v>38</v>
      </c>
      <c r="S4" s="80">
        <v>0</v>
      </c>
      <c r="T4" s="80"/>
      <c r="U4" s="80"/>
      <c r="V4" s="80"/>
      <c r="W4" s="74"/>
      <c r="X4" s="74" t="str">
        <f t="shared" si="0"/>
        <v>RURAL / 4200</v>
      </c>
      <c r="Y4" s="74" t="s">
        <v>66</v>
      </c>
      <c r="Z4" s="75">
        <v>4200</v>
      </c>
      <c r="AA4" s="17">
        <v>1340</v>
      </c>
    </row>
    <row r="5" spans="3:27" ht="30.75" hidden="1" customHeight="1">
      <c r="C5" s="71"/>
      <c r="D5" s="87"/>
      <c r="E5" s="88"/>
      <c r="F5" s="88"/>
      <c r="G5" s="88"/>
      <c r="H5" s="88"/>
      <c r="I5" s="88"/>
      <c r="J5" s="89"/>
      <c r="K5" s="89"/>
      <c r="L5" s="89"/>
      <c r="M5" s="90"/>
      <c r="N5" s="17"/>
      <c r="O5" s="74" t="str">
        <f t="shared" si="1"/>
        <v>No / Yes</v>
      </c>
      <c r="P5" s="74"/>
      <c r="Q5" s="76" t="s">
        <v>38</v>
      </c>
      <c r="R5" s="97" t="s">
        <v>46</v>
      </c>
      <c r="S5" s="80">
        <v>5181</v>
      </c>
      <c r="T5" s="80"/>
      <c r="U5" s="80"/>
      <c r="V5" s="80"/>
      <c r="W5" s="74"/>
      <c r="X5" s="74" t="str">
        <f t="shared" si="0"/>
        <v>RURAL / 4600</v>
      </c>
      <c r="Y5" s="74" t="s">
        <v>66</v>
      </c>
      <c r="Z5" s="75">
        <v>4600</v>
      </c>
      <c r="AA5" s="17">
        <v>1840</v>
      </c>
    </row>
    <row r="6" spans="3:27" ht="43.5" hidden="1" customHeight="1">
      <c r="C6" s="71"/>
      <c r="D6" s="87"/>
      <c r="E6" s="88"/>
      <c r="F6" s="88"/>
      <c r="G6" s="88"/>
      <c r="H6" s="88"/>
      <c r="I6" s="88"/>
      <c r="J6" s="89"/>
      <c r="K6" s="89"/>
      <c r="L6" s="89"/>
      <c r="M6" s="90"/>
      <c r="N6" s="17"/>
      <c r="O6" s="74" t="str">
        <f t="shared" si="1"/>
        <v>No / No</v>
      </c>
      <c r="P6" s="74"/>
      <c r="Q6" s="76" t="s">
        <v>38</v>
      </c>
      <c r="R6" s="80" t="s">
        <v>38</v>
      </c>
      <c r="S6" s="80">
        <v>0</v>
      </c>
      <c r="T6" s="80"/>
      <c r="U6" s="80"/>
      <c r="V6" s="80"/>
      <c r="W6" s="74"/>
      <c r="X6" s="74" t="str">
        <f t="shared" si="0"/>
        <v>RURAL / 4800</v>
      </c>
      <c r="Y6" s="74" t="s">
        <v>66</v>
      </c>
      <c r="Z6" s="75">
        <v>4800</v>
      </c>
      <c r="AA6" s="17">
        <v>1870</v>
      </c>
    </row>
    <row r="7" spans="3:27" ht="38.25" hidden="1" customHeight="1">
      <c r="C7" s="71"/>
      <c r="D7" s="87"/>
      <c r="E7" s="88"/>
      <c r="F7" s="88"/>
      <c r="G7" s="88"/>
      <c r="H7" s="88"/>
      <c r="I7" s="88"/>
      <c r="J7" s="89"/>
      <c r="K7" s="89"/>
      <c r="L7" s="89"/>
      <c r="M7" s="90"/>
      <c r="N7" s="17"/>
      <c r="O7" s="88"/>
      <c r="P7" s="88"/>
      <c r="Q7" s="76"/>
      <c r="R7" s="80"/>
      <c r="S7" s="80"/>
      <c r="T7" s="80"/>
      <c r="U7" s="80"/>
      <c r="V7" s="80"/>
      <c r="W7" s="74"/>
      <c r="X7" s="74" t="str">
        <f t="shared" si="0"/>
        <v>RURAL / 5400</v>
      </c>
      <c r="Y7" s="74" t="s">
        <v>66</v>
      </c>
      <c r="Z7" s="75">
        <v>5400</v>
      </c>
      <c r="AA7" s="17">
        <v>2100</v>
      </c>
    </row>
    <row r="8" spans="3:27" ht="42" hidden="1" customHeight="1">
      <c r="C8" s="71"/>
      <c r="D8" s="87"/>
      <c r="E8" s="88"/>
      <c r="F8" s="88"/>
      <c r="G8" s="88"/>
      <c r="H8" s="88"/>
      <c r="I8" s="88"/>
      <c r="J8" s="89"/>
      <c r="K8" s="89"/>
      <c r="L8" s="89"/>
      <c r="M8" s="90"/>
      <c r="N8" s="17"/>
      <c r="O8" s="88"/>
      <c r="P8" s="88"/>
      <c r="Q8" s="76"/>
      <c r="R8" s="80"/>
      <c r="S8" s="80"/>
      <c r="T8" s="80"/>
      <c r="U8" s="80"/>
      <c r="V8" s="80"/>
      <c r="W8" s="74"/>
      <c r="X8" s="74" t="str">
        <f t="shared" si="0"/>
        <v>URBAN / 1800</v>
      </c>
      <c r="Y8" s="74" t="s">
        <v>65</v>
      </c>
      <c r="Z8" s="75">
        <v>1800</v>
      </c>
      <c r="AA8" s="17">
        <v>1100</v>
      </c>
    </row>
    <row r="9" spans="3:27" ht="32.25" hidden="1" customHeight="1">
      <c r="C9" s="71"/>
      <c r="D9" s="87"/>
      <c r="E9" s="88"/>
      <c r="F9" s="88"/>
      <c r="G9" s="88"/>
      <c r="H9" s="88"/>
      <c r="I9" s="88"/>
      <c r="J9" s="89"/>
      <c r="K9" s="89"/>
      <c r="L9" s="89"/>
      <c r="M9" s="90"/>
      <c r="N9" s="17"/>
      <c r="O9" s="74" t="str">
        <f t="shared" ref="O9:O12" si="2">Q9&amp;" / "&amp;R9</f>
        <v>Yes / Yes</v>
      </c>
      <c r="P9" s="74"/>
      <c r="Q9" s="97" t="s">
        <v>46</v>
      </c>
      <c r="R9" s="97" t="s">
        <v>46</v>
      </c>
      <c r="S9" s="80">
        <v>5100</v>
      </c>
      <c r="T9" s="80"/>
      <c r="U9" s="80"/>
      <c r="V9" s="80"/>
      <c r="W9" s="74"/>
      <c r="X9" s="74" t="str">
        <f t="shared" si="0"/>
        <v>URBAN / 1900</v>
      </c>
      <c r="Y9" s="74" t="s">
        <v>65</v>
      </c>
      <c r="Z9" s="75">
        <v>1900</v>
      </c>
      <c r="AA9" s="17">
        <v>1160</v>
      </c>
    </row>
    <row r="10" spans="3:27" ht="34.5" hidden="1" customHeight="1">
      <c r="C10" s="71"/>
      <c r="D10" s="87"/>
      <c r="E10" s="88"/>
      <c r="F10" s="88"/>
      <c r="G10" s="88"/>
      <c r="H10" s="88"/>
      <c r="I10" s="88"/>
      <c r="J10" s="89"/>
      <c r="K10" s="89"/>
      <c r="L10" s="89"/>
      <c r="M10" s="90"/>
      <c r="N10" s="17"/>
      <c r="O10" s="74" t="str">
        <f t="shared" si="2"/>
        <v>Yes / No</v>
      </c>
      <c r="P10" s="74"/>
      <c r="Q10" s="76" t="s">
        <v>46</v>
      </c>
      <c r="R10" s="80" t="s">
        <v>38</v>
      </c>
      <c r="S10" s="80">
        <v>0</v>
      </c>
      <c r="T10" s="80"/>
      <c r="U10" s="80"/>
      <c r="V10" s="80"/>
      <c r="W10" s="74"/>
      <c r="X10" s="74" t="str">
        <f t="shared" si="0"/>
        <v>URBAN / 4200</v>
      </c>
      <c r="Y10" s="74" t="s">
        <v>65</v>
      </c>
      <c r="Z10" s="75">
        <v>4200</v>
      </c>
      <c r="AA10" s="17">
        <v>2020</v>
      </c>
    </row>
    <row r="11" spans="3:27" ht="36" hidden="1" customHeight="1">
      <c r="C11" s="71"/>
      <c r="D11" s="87"/>
      <c r="E11" s="88"/>
      <c r="F11" s="88"/>
      <c r="G11" s="88"/>
      <c r="H11" s="88"/>
      <c r="I11" s="88"/>
      <c r="J11" s="89"/>
      <c r="K11" s="89"/>
      <c r="L11" s="89"/>
      <c r="M11" s="90"/>
      <c r="N11" s="17"/>
      <c r="O11" s="74" t="str">
        <f t="shared" si="2"/>
        <v>No / Yes</v>
      </c>
      <c r="P11" s="74"/>
      <c r="Q11" s="76" t="s">
        <v>38</v>
      </c>
      <c r="R11" s="97" t="s">
        <v>46</v>
      </c>
      <c r="S11" s="80">
        <v>0</v>
      </c>
      <c r="T11" s="80"/>
      <c r="U11" s="80"/>
      <c r="V11" s="80"/>
      <c r="W11" s="74"/>
      <c r="X11" s="74" t="str">
        <f t="shared" si="0"/>
        <v>URBAN / 4600</v>
      </c>
      <c r="Y11" s="74" t="s">
        <v>65</v>
      </c>
      <c r="Z11" s="75">
        <v>4600</v>
      </c>
      <c r="AA11" s="17">
        <v>2760</v>
      </c>
    </row>
    <row r="12" spans="3:27" ht="18.75" hidden="1" customHeight="1">
      <c r="C12" s="79"/>
      <c r="D12" s="87"/>
      <c r="E12" s="88"/>
      <c r="F12" s="88"/>
      <c r="G12" s="88"/>
      <c r="H12" s="88"/>
      <c r="I12" s="88"/>
      <c r="J12" s="89"/>
      <c r="K12" s="89"/>
      <c r="L12" s="89"/>
      <c r="M12" s="90"/>
      <c r="N12" s="17"/>
      <c r="O12" s="74" t="str">
        <f t="shared" si="2"/>
        <v>No / No</v>
      </c>
      <c r="P12" s="74"/>
      <c r="Q12" s="76" t="s">
        <v>38</v>
      </c>
      <c r="R12" s="80" t="s">
        <v>38</v>
      </c>
      <c r="S12" s="80">
        <v>0</v>
      </c>
      <c r="T12" s="80"/>
      <c r="U12" s="80"/>
      <c r="V12" s="80"/>
      <c r="W12" s="74"/>
      <c r="X12" s="74" t="str">
        <f t="shared" si="0"/>
        <v>URBAN / 4800</v>
      </c>
      <c r="Y12" s="74" t="s">
        <v>65</v>
      </c>
      <c r="Z12" s="75">
        <v>4800</v>
      </c>
      <c r="AA12" s="17">
        <v>2810</v>
      </c>
    </row>
    <row r="13" spans="3:27" ht="25.5" hidden="1" customHeight="1">
      <c r="C13" s="81"/>
      <c r="D13" s="91"/>
      <c r="E13" s="92"/>
      <c r="F13" s="92"/>
      <c r="G13" s="92"/>
      <c r="H13" s="92"/>
      <c r="I13" s="92"/>
      <c r="J13" s="93"/>
      <c r="K13" s="93"/>
      <c r="L13" s="93"/>
      <c r="M13" s="94"/>
      <c r="N13" s="95"/>
      <c r="O13" s="92"/>
      <c r="P13" s="92"/>
      <c r="Q13" s="85"/>
      <c r="R13" s="96"/>
      <c r="S13" s="96"/>
      <c r="T13" s="96"/>
      <c r="U13" s="96"/>
      <c r="V13" s="96"/>
      <c r="W13" s="82"/>
      <c r="X13" s="82" t="str">
        <f t="shared" si="0"/>
        <v>URBAN / 5400</v>
      </c>
      <c r="Y13" s="82" t="s">
        <v>65</v>
      </c>
      <c r="Z13" s="83">
        <v>5400</v>
      </c>
      <c r="AA13" s="84">
        <v>3150</v>
      </c>
    </row>
    <row r="14" spans="3:27" ht="30.75" customHeight="1">
      <c r="C14" s="150" t="s">
        <v>201</v>
      </c>
      <c r="D14" s="150"/>
      <c r="E14" s="151" t="s">
        <v>202</v>
      </c>
      <c r="F14" s="152"/>
      <c r="G14" s="153" t="s">
        <v>204</v>
      </c>
      <c r="H14" s="154"/>
      <c r="I14" s="154"/>
      <c r="J14" s="154"/>
      <c r="K14" s="155"/>
      <c r="L14" s="151" t="s">
        <v>194</v>
      </c>
      <c r="M14" s="152"/>
      <c r="N14" s="104" t="s">
        <v>206</v>
      </c>
      <c r="O14" s="113" t="s">
        <v>202</v>
      </c>
      <c r="P14" s="115"/>
      <c r="Q14" s="154" t="s">
        <v>40</v>
      </c>
      <c r="R14" s="155"/>
      <c r="S14" s="151" t="s">
        <v>66</v>
      </c>
      <c r="T14" s="152"/>
      <c r="U14" s="153" t="s">
        <v>67</v>
      </c>
      <c r="V14" s="155"/>
      <c r="W14" s="161">
        <v>1800</v>
      </c>
      <c r="X14" s="162"/>
      <c r="Y14" s="159" t="s">
        <v>205</v>
      </c>
      <c r="Z14" s="160"/>
      <c r="AA14" s="114" t="s">
        <v>203</v>
      </c>
    </row>
    <row r="15" spans="3:27" ht="48" customHeight="1">
      <c r="C15" s="163" t="s">
        <v>189</v>
      </c>
      <c r="D15" s="163"/>
      <c r="E15" s="163"/>
      <c r="F15" s="163"/>
      <c r="G15" s="163"/>
      <c r="H15" s="163"/>
      <c r="I15" s="163"/>
      <c r="J15" s="163"/>
      <c r="K15" s="163"/>
      <c r="L15" s="163"/>
      <c r="M15" s="163"/>
      <c r="N15" s="163"/>
      <c r="O15" s="163"/>
      <c r="P15" s="163"/>
      <c r="Q15" s="163"/>
      <c r="R15" s="163"/>
      <c r="S15" s="163"/>
      <c r="T15" s="163"/>
      <c r="U15" s="163"/>
      <c r="V15" s="163"/>
      <c r="W15" s="163"/>
      <c r="X15" s="163"/>
      <c r="Y15" s="163"/>
      <c r="Z15" s="163"/>
      <c r="AA15" s="163"/>
    </row>
    <row r="16" spans="3:27" ht="36.75" customHeight="1">
      <c r="C16" s="156" t="s">
        <v>211</v>
      </c>
      <c r="D16" s="156"/>
      <c r="E16" s="156"/>
      <c r="F16" s="156"/>
      <c r="G16" s="156"/>
      <c r="H16" s="156"/>
      <c r="I16" s="156"/>
      <c r="J16" s="156"/>
      <c r="K16" s="156"/>
      <c r="L16" s="156"/>
      <c r="M16" s="156"/>
      <c r="N16" s="156"/>
      <c r="O16" s="156"/>
      <c r="P16" s="156"/>
      <c r="Q16" s="156"/>
      <c r="R16" s="156"/>
      <c r="S16" s="156"/>
      <c r="T16" s="156"/>
      <c r="U16" s="156"/>
      <c r="V16" s="156"/>
      <c r="W16" s="156"/>
      <c r="X16" s="156"/>
      <c r="Y16" s="156"/>
      <c r="Z16" s="156"/>
      <c r="AA16" s="156"/>
    </row>
    <row r="17" spans="1:30" ht="27" customHeight="1">
      <c r="C17" s="164" t="s">
        <v>181</v>
      </c>
      <c r="D17" s="164"/>
      <c r="E17" s="158">
        <v>125645</v>
      </c>
      <c r="F17" s="158"/>
      <c r="G17" s="158"/>
      <c r="H17" s="158"/>
      <c r="I17" s="164" t="s">
        <v>51</v>
      </c>
      <c r="J17" s="164"/>
      <c r="K17" s="164"/>
      <c r="L17" s="164"/>
      <c r="M17" s="158" t="s">
        <v>90</v>
      </c>
      <c r="N17" s="158"/>
      <c r="O17" s="158"/>
      <c r="P17" s="102"/>
      <c r="Q17" s="164" t="s">
        <v>55</v>
      </c>
      <c r="R17" s="164"/>
      <c r="S17" s="158" t="s">
        <v>92</v>
      </c>
      <c r="T17" s="158"/>
      <c r="U17" s="158"/>
      <c r="V17" s="158"/>
      <c r="W17" s="164" t="s">
        <v>56</v>
      </c>
      <c r="X17" s="164"/>
      <c r="Y17" s="164"/>
      <c r="Z17" s="158" t="s">
        <v>188</v>
      </c>
      <c r="AA17" s="158"/>
      <c r="AC17" s="62" t="s">
        <v>46</v>
      </c>
    </row>
    <row r="18" spans="1:30" s="14" customFormat="1" ht="20.45" customHeight="1">
      <c r="A18" s="25"/>
      <c r="C18" s="100" t="s">
        <v>49</v>
      </c>
      <c r="D18" s="100"/>
      <c r="E18" s="157">
        <v>1100030000001500</v>
      </c>
      <c r="F18" s="157"/>
      <c r="G18" s="157"/>
      <c r="H18" s="157"/>
      <c r="I18" s="164" t="s">
        <v>52</v>
      </c>
      <c r="J18" s="164"/>
      <c r="K18" s="164"/>
      <c r="L18" s="164"/>
      <c r="M18" s="158" t="s">
        <v>182</v>
      </c>
      <c r="N18" s="158"/>
      <c r="O18" s="158"/>
      <c r="P18" s="102"/>
      <c r="Q18" s="164" t="s">
        <v>54</v>
      </c>
      <c r="R18" s="164"/>
      <c r="S18" s="157">
        <v>699056365783</v>
      </c>
      <c r="T18" s="157"/>
      <c r="U18" s="157"/>
      <c r="V18" s="157"/>
      <c r="W18" s="164" t="s">
        <v>43</v>
      </c>
      <c r="X18" s="164"/>
      <c r="Y18" s="164"/>
      <c r="Z18" s="165" t="s">
        <v>185</v>
      </c>
      <c r="AA18" s="157"/>
      <c r="AB18" s="64"/>
      <c r="AC18" s="63" t="s">
        <v>38</v>
      </c>
      <c r="AD18" s="64"/>
    </row>
    <row r="19" spans="1:30" s="14" customFormat="1" ht="22.5" customHeight="1">
      <c r="A19" s="25"/>
      <c r="C19" s="164" t="s">
        <v>50</v>
      </c>
      <c r="D19" s="164"/>
      <c r="E19" s="158" t="s">
        <v>209</v>
      </c>
      <c r="F19" s="158"/>
      <c r="G19" s="158"/>
      <c r="H19" s="158"/>
      <c r="I19" s="164" t="s">
        <v>61</v>
      </c>
      <c r="J19" s="164"/>
      <c r="K19" s="164"/>
      <c r="L19" s="164"/>
      <c r="M19" s="158" t="s">
        <v>91</v>
      </c>
      <c r="N19" s="158"/>
      <c r="O19" s="158"/>
      <c r="P19" s="102"/>
      <c r="Q19" s="164" t="s">
        <v>60</v>
      </c>
      <c r="R19" s="164"/>
      <c r="S19" s="158" t="s">
        <v>183</v>
      </c>
      <c r="T19" s="158"/>
      <c r="U19" s="158"/>
      <c r="V19" s="158"/>
      <c r="W19" s="164" t="s">
        <v>58</v>
      </c>
      <c r="X19" s="164"/>
      <c r="Y19" s="164"/>
      <c r="Z19" s="158" t="s">
        <v>186</v>
      </c>
      <c r="AA19" s="158"/>
      <c r="AB19" s="64"/>
      <c r="AC19" s="64"/>
      <c r="AD19" s="64"/>
    </row>
    <row r="20" spans="1:30" s="14" customFormat="1" ht="22.5" customHeight="1">
      <c r="A20" s="25"/>
      <c r="C20" s="164" t="s">
        <v>57</v>
      </c>
      <c r="D20" s="164"/>
      <c r="E20" s="158">
        <v>9784125000</v>
      </c>
      <c r="F20" s="158"/>
      <c r="G20" s="158"/>
      <c r="H20" s="158"/>
      <c r="I20" s="164" t="s">
        <v>53</v>
      </c>
      <c r="J20" s="164"/>
      <c r="K20" s="164"/>
      <c r="L20" s="164"/>
      <c r="M20" s="167" t="s">
        <v>184</v>
      </c>
      <c r="N20" s="168"/>
      <c r="O20" s="168"/>
      <c r="P20" s="103"/>
      <c r="Q20" s="169" t="s">
        <v>192</v>
      </c>
      <c r="R20" s="169"/>
      <c r="S20" s="166">
        <v>1800</v>
      </c>
      <c r="T20" s="166"/>
      <c r="U20" s="166"/>
      <c r="V20" s="166"/>
      <c r="W20" s="164" t="s">
        <v>59</v>
      </c>
      <c r="X20" s="164"/>
      <c r="Y20" s="164"/>
      <c r="Z20" s="158" t="s">
        <v>187</v>
      </c>
      <c r="AA20" s="158"/>
      <c r="AB20" s="64"/>
      <c r="AC20" s="64"/>
      <c r="AD20" s="64"/>
    </row>
    <row r="21" spans="1:30" s="14" customFormat="1" ht="22.5" customHeight="1">
      <c r="A21" s="25"/>
      <c r="C21" s="170" t="s">
        <v>63</v>
      </c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70" t="s">
        <v>64</v>
      </c>
      <c r="P21" s="170"/>
      <c r="Q21" s="170"/>
      <c r="R21" s="170"/>
      <c r="S21" s="170"/>
      <c r="T21" s="170"/>
      <c r="U21" s="170"/>
      <c r="V21" s="170"/>
      <c r="W21" s="170"/>
      <c r="X21" s="170"/>
      <c r="Y21" s="170"/>
      <c r="Z21" s="171" t="s">
        <v>71</v>
      </c>
      <c r="AA21" s="172" t="s">
        <v>45</v>
      </c>
      <c r="AB21" s="64"/>
      <c r="AC21" s="64"/>
      <c r="AD21" s="64"/>
    </row>
    <row r="22" spans="1:30" s="11" customFormat="1" ht="108.75" customHeight="1">
      <c r="A22" s="26"/>
      <c r="C22" s="105" t="s">
        <v>7</v>
      </c>
      <c r="D22" s="86" t="s">
        <v>1</v>
      </c>
      <c r="E22" s="86" t="s">
        <v>2</v>
      </c>
      <c r="F22" s="86" t="s">
        <v>28</v>
      </c>
      <c r="G22" s="86" t="s">
        <v>14</v>
      </c>
      <c r="H22" s="86" t="s">
        <v>15</v>
      </c>
      <c r="I22" s="86" t="s">
        <v>40</v>
      </c>
      <c r="J22" s="86" t="s">
        <v>34</v>
      </c>
      <c r="K22" s="86" t="s">
        <v>62</v>
      </c>
      <c r="L22" s="86" t="s">
        <v>69</v>
      </c>
      <c r="M22" s="86" t="s">
        <v>39</v>
      </c>
      <c r="N22" s="101" t="s">
        <v>33</v>
      </c>
      <c r="O22" s="86" t="str">
        <f>IF(E14="No","GPF","NPS")</f>
        <v>NPS</v>
      </c>
      <c r="P22" s="86"/>
      <c r="Q22" s="86" t="s">
        <v>68</v>
      </c>
      <c r="R22" s="86" t="s">
        <v>193</v>
      </c>
      <c r="S22" s="86" t="s">
        <v>5</v>
      </c>
      <c r="T22" s="86" t="s">
        <v>37</v>
      </c>
      <c r="U22" s="86" t="s">
        <v>31</v>
      </c>
      <c r="V22" s="86" t="s">
        <v>30</v>
      </c>
      <c r="W22" s="86" t="s">
        <v>27</v>
      </c>
      <c r="X22" s="86" t="s">
        <v>70</v>
      </c>
      <c r="Y22" s="86" t="s">
        <v>32</v>
      </c>
      <c r="Z22" s="171"/>
      <c r="AA22" s="172"/>
      <c r="AB22" s="65"/>
      <c r="AC22" s="65"/>
      <c r="AD22" s="65"/>
    </row>
    <row r="23" spans="1:30" s="12" customFormat="1" ht="18.95" customHeight="1">
      <c r="A23" s="27"/>
      <c r="B23" s="12">
        <v>3</v>
      </c>
      <c r="C23" s="106">
        <v>45717</v>
      </c>
      <c r="D23" s="98">
        <v>46500</v>
      </c>
      <c r="E23" s="17">
        <v>0</v>
      </c>
      <c r="F23" s="17">
        <v>0</v>
      </c>
      <c r="G23" s="17">
        <v>0</v>
      </c>
      <c r="H23" s="17">
        <f>ROUND(53%*D23,0)</f>
        <v>24645</v>
      </c>
      <c r="I23" s="44">
        <f>VLOOKUP(S14&amp;" / "&amp;W14,X1:AA13,4,0)</f>
        <v>730</v>
      </c>
      <c r="J23" s="17">
        <v>0</v>
      </c>
      <c r="K23" s="17">
        <v>0</v>
      </c>
      <c r="L23" s="17">
        <v>0</v>
      </c>
      <c r="M23" s="17">
        <v>0</v>
      </c>
      <c r="N23" s="18">
        <f>SUM(D23:M23)</f>
        <v>71875</v>
      </c>
      <c r="O23" s="17">
        <f>IF($E$14="Yes",ROUND((D23+H23)*0.1,0),IF($E$14="No",ROUND((D23)*0.1,0)))</f>
        <v>7115</v>
      </c>
      <c r="P23" s="17">
        <f>IF($E$14="Yes",ROUND((D23+H23)*0.14,0))</f>
        <v>9960</v>
      </c>
      <c r="Q23" s="17">
        <v>87</v>
      </c>
      <c r="R23" s="17">
        <v>0</v>
      </c>
      <c r="S23" s="17">
        <v>0</v>
      </c>
      <c r="T23" s="17">
        <v>0</v>
      </c>
      <c r="U23" s="17"/>
      <c r="V23" s="17"/>
      <c r="W23" s="17">
        <v>1000</v>
      </c>
      <c r="X23" s="99"/>
      <c r="Y23" s="19">
        <f>O23+Q23+R23+S23+T23+U23+V23+W23+X23</f>
        <v>8202</v>
      </c>
      <c r="Z23" s="20">
        <f t="shared" ref="Z23:Z41" si="3">N23-Y23</f>
        <v>63673</v>
      </c>
      <c r="AA23" s="17"/>
      <c r="AB23" s="70"/>
      <c r="AC23" s="66">
        <v>1800</v>
      </c>
      <c r="AD23" s="67"/>
    </row>
    <row r="24" spans="1:30" s="12" customFormat="1" ht="18.95" customHeight="1">
      <c r="A24" s="27"/>
      <c r="B24" s="12">
        <v>4</v>
      </c>
      <c r="C24" s="106">
        <v>45748</v>
      </c>
      <c r="D24" s="17">
        <f t="shared" ref="D24:D26" si="4">D23</f>
        <v>46500</v>
      </c>
      <c r="E24" s="17">
        <f>IF(E$23=0,0,ROUND(D24/2,0))</f>
        <v>0</v>
      </c>
      <c r="F24" s="17">
        <f t="shared" ref="F24:G29" si="5">IF(F$23=0,0,F23)</f>
        <v>0</v>
      </c>
      <c r="G24" s="17">
        <f t="shared" si="5"/>
        <v>0</v>
      </c>
      <c r="H24" s="17">
        <f>ROUND(55%*D24,0)</f>
        <v>25575</v>
      </c>
      <c r="I24" s="44">
        <f>I23</f>
        <v>730</v>
      </c>
      <c r="J24" s="17">
        <f t="shared" ref="J24:J34" si="6">IF(J$23=0,0,J23)</f>
        <v>0</v>
      </c>
      <c r="K24" s="17">
        <f t="shared" ref="K24:L34" si="7">IF(K$23=0,0,K23)</f>
        <v>0</v>
      </c>
      <c r="L24" s="17">
        <f t="shared" si="7"/>
        <v>0</v>
      </c>
      <c r="M24" s="17">
        <f t="shared" ref="M24:M34" si="8">IF(M$23=0,0,M23)</f>
        <v>0</v>
      </c>
      <c r="N24" s="18">
        <f t="shared" ref="N24:N41" si="9">SUM(D24:M24)</f>
        <v>72805</v>
      </c>
      <c r="O24" s="17">
        <f t="shared" ref="O24:O34" si="10">IF($E$14="Yes",ROUND((D24+H24)*0.1,0),IF($E$14="No",ROUND((D24)*0.1,0)))</f>
        <v>7208</v>
      </c>
      <c r="P24" s="17">
        <f t="shared" ref="P24:P36" si="11">IF($E$14="Yes",ROUND((D24+H24)*0.14,0))</f>
        <v>10091</v>
      </c>
      <c r="Q24" s="17">
        <f>Q23</f>
        <v>87</v>
      </c>
      <c r="R24" s="17">
        <f>R23</f>
        <v>0</v>
      </c>
      <c r="S24" s="17">
        <f>S23</f>
        <v>0</v>
      </c>
      <c r="T24" s="21"/>
      <c r="U24" s="17">
        <f t="shared" ref="U24:X34" si="12">U23</f>
        <v>0</v>
      </c>
      <c r="V24" s="17">
        <f t="shared" si="12"/>
        <v>0</v>
      </c>
      <c r="W24" s="17">
        <f>W23</f>
        <v>1000</v>
      </c>
      <c r="X24" s="17">
        <f t="shared" si="12"/>
        <v>0</v>
      </c>
      <c r="Y24" s="19">
        <f t="shared" ref="Y24:Y37" si="13">O24+Q24+R24+S24+T24+U24+V24+W24+X24</f>
        <v>8295</v>
      </c>
      <c r="Z24" s="20">
        <f t="shared" si="3"/>
        <v>64510</v>
      </c>
      <c r="AA24" s="17"/>
      <c r="AB24" s="70"/>
      <c r="AC24" s="66">
        <v>1900</v>
      </c>
      <c r="AD24" s="67"/>
    </row>
    <row r="25" spans="1:30" s="12" customFormat="1" ht="18.95" customHeight="1">
      <c r="A25" s="27"/>
      <c r="B25" s="12">
        <v>5</v>
      </c>
      <c r="C25" s="106">
        <v>45778</v>
      </c>
      <c r="D25" s="17">
        <f t="shared" si="4"/>
        <v>46500</v>
      </c>
      <c r="E25" s="17">
        <f t="shared" ref="E25:E34" si="14">IF($E$23=0,0,ROUND(D25/2,0))</f>
        <v>0</v>
      </c>
      <c r="F25" s="17">
        <f t="shared" si="5"/>
        <v>0</v>
      </c>
      <c r="G25" s="17">
        <f t="shared" si="5"/>
        <v>0</v>
      </c>
      <c r="H25" s="17">
        <f t="shared" ref="H25:H29" si="15">ROUND(55%*D25,0)</f>
        <v>25575</v>
      </c>
      <c r="I25" s="44">
        <f t="shared" ref="I25:I34" si="16">I24</f>
        <v>730</v>
      </c>
      <c r="J25" s="17">
        <f t="shared" si="6"/>
        <v>0</v>
      </c>
      <c r="K25" s="17">
        <f t="shared" ref="K25" si="17">IF(K$23=0,0,K24)</f>
        <v>0</v>
      </c>
      <c r="L25" s="17">
        <f>IF(L$23=0,0,L24)</f>
        <v>0</v>
      </c>
      <c r="M25" s="17">
        <f t="shared" si="8"/>
        <v>0</v>
      </c>
      <c r="N25" s="18">
        <f t="shared" si="9"/>
        <v>72805</v>
      </c>
      <c r="O25" s="17">
        <f t="shared" si="10"/>
        <v>7208</v>
      </c>
      <c r="P25" s="17">
        <f t="shared" si="11"/>
        <v>10091</v>
      </c>
      <c r="Q25" s="17">
        <f t="shared" ref="Q25:Q34" si="18">Q24</f>
        <v>87</v>
      </c>
      <c r="R25" s="17">
        <f t="shared" ref="R25:R34" si="19">R24</f>
        <v>0</v>
      </c>
      <c r="S25" s="17">
        <f t="shared" ref="S25:S34" si="20">S24</f>
        <v>0</v>
      </c>
      <c r="T25" s="17">
        <v>0</v>
      </c>
      <c r="U25" s="17">
        <f t="shared" si="12"/>
        <v>0</v>
      </c>
      <c r="V25" s="17">
        <f t="shared" si="12"/>
        <v>0</v>
      </c>
      <c r="W25" s="17">
        <f t="shared" si="12"/>
        <v>1000</v>
      </c>
      <c r="X25" s="17">
        <f t="shared" ref="X25" si="21">X24</f>
        <v>0</v>
      </c>
      <c r="Y25" s="19">
        <f t="shared" si="13"/>
        <v>8295</v>
      </c>
      <c r="Z25" s="20">
        <f t="shared" si="3"/>
        <v>64510</v>
      </c>
      <c r="AA25" s="17"/>
      <c r="AB25" s="70"/>
      <c r="AC25" s="66">
        <v>4200</v>
      </c>
      <c r="AD25" s="67"/>
    </row>
    <row r="26" spans="1:30" s="12" customFormat="1" ht="18.95" customHeight="1">
      <c r="A26" s="27"/>
      <c r="B26" s="12">
        <v>6</v>
      </c>
      <c r="C26" s="106">
        <v>45809</v>
      </c>
      <c r="D26" s="17">
        <f t="shared" si="4"/>
        <v>46500</v>
      </c>
      <c r="E26" s="17">
        <f t="shared" si="14"/>
        <v>0</v>
      </c>
      <c r="F26" s="17">
        <f t="shared" si="5"/>
        <v>0</v>
      </c>
      <c r="G26" s="17">
        <f t="shared" si="5"/>
        <v>0</v>
      </c>
      <c r="H26" s="17">
        <f t="shared" si="15"/>
        <v>25575</v>
      </c>
      <c r="I26" s="44">
        <f t="shared" si="16"/>
        <v>730</v>
      </c>
      <c r="J26" s="17">
        <f t="shared" si="6"/>
        <v>0</v>
      </c>
      <c r="K26" s="17">
        <f t="shared" si="7"/>
        <v>0</v>
      </c>
      <c r="L26" s="17">
        <f t="shared" si="7"/>
        <v>0</v>
      </c>
      <c r="M26" s="17">
        <f t="shared" si="8"/>
        <v>0</v>
      </c>
      <c r="N26" s="18">
        <f t="shared" si="9"/>
        <v>72805</v>
      </c>
      <c r="O26" s="17">
        <f t="shared" si="10"/>
        <v>7208</v>
      </c>
      <c r="P26" s="17">
        <f t="shared" si="11"/>
        <v>10091</v>
      </c>
      <c r="Q26" s="17">
        <f t="shared" si="18"/>
        <v>87</v>
      </c>
      <c r="R26" s="17">
        <f t="shared" si="19"/>
        <v>0</v>
      </c>
      <c r="S26" s="17">
        <f t="shared" si="20"/>
        <v>0</v>
      </c>
      <c r="T26" s="17">
        <v>0</v>
      </c>
      <c r="U26" s="17">
        <f t="shared" si="12"/>
        <v>0</v>
      </c>
      <c r="V26" s="17">
        <f t="shared" si="12"/>
        <v>0</v>
      </c>
      <c r="W26" s="17">
        <f t="shared" si="12"/>
        <v>1000</v>
      </c>
      <c r="X26" s="17">
        <f t="shared" ref="X26" si="22">X25</f>
        <v>0</v>
      </c>
      <c r="Y26" s="19">
        <f t="shared" si="13"/>
        <v>8295</v>
      </c>
      <c r="Z26" s="20">
        <f t="shared" si="3"/>
        <v>64510</v>
      </c>
      <c r="AA26" s="17"/>
      <c r="AB26" s="70"/>
      <c r="AC26" s="66">
        <v>4600</v>
      </c>
      <c r="AD26" s="67"/>
    </row>
    <row r="27" spans="1:30" s="12" customFormat="1" ht="18.95" customHeight="1">
      <c r="A27" s="27"/>
      <c r="B27" s="12">
        <v>7</v>
      </c>
      <c r="C27" s="106">
        <v>45839</v>
      </c>
      <c r="D27" s="17">
        <f>IF(L14="JULY",MROUND(ROUND(1.03*D26,0),100),D26)</f>
        <v>47900</v>
      </c>
      <c r="E27" s="17">
        <f t="shared" si="14"/>
        <v>0</v>
      </c>
      <c r="F27" s="17">
        <f>IF(F$23=0,0,F26)</f>
        <v>0</v>
      </c>
      <c r="G27" s="17">
        <f>IF(G$23=0,0,G26)</f>
        <v>0</v>
      </c>
      <c r="H27" s="17">
        <f t="shared" si="15"/>
        <v>26345</v>
      </c>
      <c r="I27" s="44">
        <f t="shared" si="16"/>
        <v>730</v>
      </c>
      <c r="J27" s="17">
        <f>IF(J$23=0,0,J26)</f>
        <v>0</v>
      </c>
      <c r="K27" s="17">
        <f t="shared" ref="K27" si="23">IF(K$23=0,0,K26)</f>
        <v>0</v>
      </c>
      <c r="L27" s="17">
        <f>IF(L$23=0,0,L26)</f>
        <v>0</v>
      </c>
      <c r="M27" s="17">
        <f>IF(M$23=0,0,M26)</f>
        <v>0</v>
      </c>
      <c r="N27" s="18">
        <f t="shared" si="9"/>
        <v>74975</v>
      </c>
      <c r="O27" s="17">
        <f t="shared" si="10"/>
        <v>7425</v>
      </c>
      <c r="P27" s="17">
        <f t="shared" si="11"/>
        <v>10394</v>
      </c>
      <c r="Q27" s="17">
        <f>Q26</f>
        <v>87</v>
      </c>
      <c r="R27" s="17">
        <f>R26</f>
        <v>0</v>
      </c>
      <c r="S27" s="17">
        <f>S26</f>
        <v>0</v>
      </c>
      <c r="T27" s="17">
        <v>0</v>
      </c>
      <c r="U27" s="17">
        <f>U26</f>
        <v>0</v>
      </c>
      <c r="V27" s="17">
        <f>V26</f>
        <v>0</v>
      </c>
      <c r="W27" s="17">
        <f t="shared" ref="W27:X34" si="24">W26</f>
        <v>1000</v>
      </c>
      <c r="X27" s="17">
        <f t="shared" si="24"/>
        <v>0</v>
      </c>
      <c r="Y27" s="19">
        <f t="shared" si="13"/>
        <v>8512</v>
      </c>
      <c r="Z27" s="20">
        <f t="shared" si="3"/>
        <v>66463</v>
      </c>
      <c r="AA27" s="17"/>
      <c r="AB27" s="70"/>
      <c r="AC27" s="66">
        <v>4800</v>
      </c>
      <c r="AD27" s="67"/>
    </row>
    <row r="28" spans="1:30" s="12" customFormat="1" ht="18.95" customHeight="1">
      <c r="A28" s="27"/>
      <c r="B28" s="12">
        <v>8</v>
      </c>
      <c r="C28" s="106">
        <v>45870</v>
      </c>
      <c r="D28" s="17">
        <f t="shared" ref="D28:D34" si="25">D27</f>
        <v>47900</v>
      </c>
      <c r="E28" s="17">
        <f t="shared" si="14"/>
        <v>0</v>
      </c>
      <c r="F28" s="17">
        <f t="shared" si="5"/>
        <v>0</v>
      </c>
      <c r="G28" s="17">
        <f t="shared" si="5"/>
        <v>0</v>
      </c>
      <c r="H28" s="17">
        <f t="shared" si="15"/>
        <v>26345</v>
      </c>
      <c r="I28" s="44">
        <f t="shared" si="16"/>
        <v>730</v>
      </c>
      <c r="J28" s="17">
        <f t="shared" si="6"/>
        <v>0</v>
      </c>
      <c r="K28" s="17">
        <f t="shared" si="7"/>
        <v>0</v>
      </c>
      <c r="L28" s="17">
        <f t="shared" si="7"/>
        <v>0</v>
      </c>
      <c r="M28" s="17">
        <f t="shared" si="8"/>
        <v>0</v>
      </c>
      <c r="N28" s="18">
        <f t="shared" si="9"/>
        <v>74975</v>
      </c>
      <c r="O28" s="17">
        <f t="shared" si="10"/>
        <v>7425</v>
      </c>
      <c r="P28" s="17">
        <f t="shared" si="11"/>
        <v>10394</v>
      </c>
      <c r="Q28" s="17">
        <f t="shared" si="18"/>
        <v>87</v>
      </c>
      <c r="R28" s="17">
        <f t="shared" si="19"/>
        <v>0</v>
      </c>
      <c r="S28" s="17">
        <f t="shared" si="20"/>
        <v>0</v>
      </c>
      <c r="T28" s="17">
        <v>0</v>
      </c>
      <c r="U28" s="17">
        <f t="shared" si="12"/>
        <v>0</v>
      </c>
      <c r="V28" s="17">
        <f t="shared" si="12"/>
        <v>0</v>
      </c>
      <c r="W28" s="17">
        <f t="shared" si="24"/>
        <v>1000</v>
      </c>
      <c r="X28" s="17">
        <f t="shared" si="24"/>
        <v>0</v>
      </c>
      <c r="Y28" s="19">
        <f t="shared" si="13"/>
        <v>8512</v>
      </c>
      <c r="Z28" s="20">
        <f t="shared" si="3"/>
        <v>66463</v>
      </c>
      <c r="AA28" s="17"/>
      <c r="AB28" s="70"/>
      <c r="AC28" s="66">
        <v>5400</v>
      </c>
      <c r="AD28" s="67"/>
    </row>
    <row r="29" spans="1:30" s="12" customFormat="1" ht="18.95" customHeight="1">
      <c r="A29" s="27"/>
      <c r="B29" s="12">
        <v>9</v>
      </c>
      <c r="C29" s="106">
        <v>45901</v>
      </c>
      <c r="D29" s="17">
        <f t="shared" si="25"/>
        <v>47900</v>
      </c>
      <c r="E29" s="17">
        <f t="shared" si="14"/>
        <v>0</v>
      </c>
      <c r="F29" s="17">
        <f t="shared" si="5"/>
        <v>0</v>
      </c>
      <c r="G29" s="17">
        <f t="shared" si="5"/>
        <v>0</v>
      </c>
      <c r="H29" s="17">
        <f t="shared" si="15"/>
        <v>26345</v>
      </c>
      <c r="I29" s="44">
        <f t="shared" si="16"/>
        <v>730</v>
      </c>
      <c r="J29" s="17">
        <f t="shared" si="6"/>
        <v>0</v>
      </c>
      <c r="K29" s="17">
        <f t="shared" si="7"/>
        <v>0</v>
      </c>
      <c r="L29" s="17">
        <f t="shared" si="7"/>
        <v>0</v>
      </c>
      <c r="M29" s="17">
        <f t="shared" si="8"/>
        <v>0</v>
      </c>
      <c r="N29" s="18">
        <f t="shared" si="9"/>
        <v>74975</v>
      </c>
      <c r="O29" s="17">
        <f t="shared" si="10"/>
        <v>7425</v>
      </c>
      <c r="P29" s="17">
        <f t="shared" si="11"/>
        <v>10394</v>
      </c>
      <c r="Q29" s="17">
        <f t="shared" si="18"/>
        <v>87</v>
      </c>
      <c r="R29" s="17">
        <f t="shared" si="19"/>
        <v>0</v>
      </c>
      <c r="S29" s="17">
        <f t="shared" si="20"/>
        <v>0</v>
      </c>
      <c r="T29" s="17">
        <v>0</v>
      </c>
      <c r="U29" s="17">
        <f t="shared" si="12"/>
        <v>0</v>
      </c>
      <c r="V29" s="17">
        <f t="shared" si="12"/>
        <v>0</v>
      </c>
      <c r="W29" s="17">
        <f t="shared" si="24"/>
        <v>1000</v>
      </c>
      <c r="X29" s="17">
        <f t="shared" si="24"/>
        <v>0</v>
      </c>
      <c r="Y29" s="19">
        <f t="shared" si="13"/>
        <v>8512</v>
      </c>
      <c r="Z29" s="20">
        <f t="shared" si="3"/>
        <v>66463</v>
      </c>
      <c r="AA29" s="17"/>
      <c r="AB29" s="70"/>
      <c r="AC29" s="66"/>
      <c r="AD29" s="67"/>
    </row>
    <row r="30" spans="1:30" s="12" customFormat="1" ht="18.95" customHeight="1">
      <c r="A30" s="27"/>
      <c r="B30" s="12">
        <v>10</v>
      </c>
      <c r="C30" s="106">
        <v>45931</v>
      </c>
      <c r="D30" s="17">
        <f t="shared" si="25"/>
        <v>47900</v>
      </c>
      <c r="E30" s="17">
        <f t="shared" si="14"/>
        <v>0</v>
      </c>
      <c r="F30" s="17">
        <f>IF(F$23=0,0,F29)</f>
        <v>0</v>
      </c>
      <c r="G30" s="17">
        <f t="shared" ref="G30:G34" si="26">IF(G$23=0,0,G29)</f>
        <v>0</v>
      </c>
      <c r="H30" s="17">
        <f>ROUND(58%*D30,0)</f>
        <v>27782</v>
      </c>
      <c r="I30" s="44">
        <f t="shared" si="16"/>
        <v>730</v>
      </c>
      <c r="J30" s="17">
        <f t="shared" si="6"/>
        <v>0</v>
      </c>
      <c r="K30" s="17">
        <f t="shared" si="7"/>
        <v>0</v>
      </c>
      <c r="L30" s="17">
        <f t="shared" si="7"/>
        <v>0</v>
      </c>
      <c r="M30" s="17">
        <f t="shared" si="8"/>
        <v>0</v>
      </c>
      <c r="N30" s="18">
        <f t="shared" si="9"/>
        <v>76412</v>
      </c>
      <c r="O30" s="17">
        <f t="shared" si="10"/>
        <v>7568</v>
      </c>
      <c r="P30" s="17">
        <f t="shared" si="11"/>
        <v>10595</v>
      </c>
      <c r="Q30" s="17">
        <f t="shared" si="18"/>
        <v>87</v>
      </c>
      <c r="R30" s="17">
        <f t="shared" si="19"/>
        <v>0</v>
      </c>
      <c r="S30" s="17">
        <f t="shared" si="20"/>
        <v>0</v>
      </c>
      <c r="T30" s="17">
        <v>0</v>
      </c>
      <c r="U30" s="17">
        <f t="shared" si="12"/>
        <v>0</v>
      </c>
      <c r="V30" s="17">
        <f t="shared" si="12"/>
        <v>0</v>
      </c>
      <c r="W30" s="17">
        <f t="shared" si="24"/>
        <v>1000</v>
      </c>
      <c r="X30" s="17">
        <f t="shared" si="24"/>
        <v>0</v>
      </c>
      <c r="Y30" s="19">
        <f t="shared" si="13"/>
        <v>8655</v>
      </c>
      <c r="Z30" s="20">
        <f t="shared" si="3"/>
        <v>67757</v>
      </c>
      <c r="AA30" s="17"/>
      <c r="AB30" s="70"/>
      <c r="AC30" s="66"/>
      <c r="AD30" s="67"/>
    </row>
    <row r="31" spans="1:30" s="12" customFormat="1" ht="18.95" customHeight="1">
      <c r="A31" s="27"/>
      <c r="B31" s="12">
        <v>11</v>
      </c>
      <c r="C31" s="106">
        <v>45962</v>
      </c>
      <c r="D31" s="17">
        <f t="shared" si="25"/>
        <v>47900</v>
      </c>
      <c r="E31" s="17">
        <f t="shared" si="14"/>
        <v>0</v>
      </c>
      <c r="F31" s="17">
        <f>IF(F$23=0,0,F30)</f>
        <v>0</v>
      </c>
      <c r="G31" s="17">
        <f t="shared" si="26"/>
        <v>0</v>
      </c>
      <c r="H31" s="17">
        <f t="shared" ref="H31:H34" si="27">ROUND(58%*D31,0)</f>
        <v>27782</v>
      </c>
      <c r="I31" s="44">
        <f t="shared" si="16"/>
        <v>730</v>
      </c>
      <c r="J31" s="17">
        <f t="shared" si="6"/>
        <v>0</v>
      </c>
      <c r="K31" s="17">
        <f t="shared" si="7"/>
        <v>0</v>
      </c>
      <c r="L31" s="17">
        <f t="shared" si="7"/>
        <v>0</v>
      </c>
      <c r="M31" s="17">
        <f t="shared" si="8"/>
        <v>0</v>
      </c>
      <c r="N31" s="18">
        <f t="shared" si="9"/>
        <v>76412</v>
      </c>
      <c r="O31" s="17">
        <f t="shared" si="10"/>
        <v>7568</v>
      </c>
      <c r="P31" s="17">
        <f t="shared" si="11"/>
        <v>10595</v>
      </c>
      <c r="Q31" s="17">
        <f t="shared" si="18"/>
        <v>87</v>
      </c>
      <c r="R31" s="17">
        <f t="shared" si="19"/>
        <v>0</v>
      </c>
      <c r="S31" s="17">
        <f t="shared" si="20"/>
        <v>0</v>
      </c>
      <c r="T31" s="17">
        <v>0</v>
      </c>
      <c r="U31" s="17">
        <f t="shared" si="12"/>
        <v>0</v>
      </c>
      <c r="V31" s="17">
        <f t="shared" si="12"/>
        <v>0</v>
      </c>
      <c r="W31" s="17">
        <f t="shared" si="24"/>
        <v>1000</v>
      </c>
      <c r="X31" s="17">
        <f t="shared" si="24"/>
        <v>0</v>
      </c>
      <c r="Y31" s="19">
        <f t="shared" si="13"/>
        <v>8655</v>
      </c>
      <c r="Z31" s="20">
        <f t="shared" si="3"/>
        <v>67757</v>
      </c>
      <c r="AA31" s="17"/>
      <c r="AB31" s="70"/>
      <c r="AC31" s="66"/>
      <c r="AD31" s="67"/>
    </row>
    <row r="32" spans="1:30" s="12" customFormat="1" ht="18.95" customHeight="1">
      <c r="A32" s="27"/>
      <c r="B32" s="12">
        <v>12</v>
      </c>
      <c r="C32" s="106">
        <v>45992</v>
      </c>
      <c r="D32" s="17">
        <f t="shared" si="25"/>
        <v>47900</v>
      </c>
      <c r="E32" s="17">
        <f t="shared" si="14"/>
        <v>0</v>
      </c>
      <c r="F32" s="17">
        <f>IF(F$23=0,0,F31)</f>
        <v>0</v>
      </c>
      <c r="G32" s="17">
        <f t="shared" si="26"/>
        <v>0</v>
      </c>
      <c r="H32" s="17">
        <f t="shared" si="27"/>
        <v>27782</v>
      </c>
      <c r="I32" s="44">
        <f t="shared" si="16"/>
        <v>730</v>
      </c>
      <c r="J32" s="17">
        <f t="shared" si="6"/>
        <v>0</v>
      </c>
      <c r="K32" s="17">
        <f t="shared" si="7"/>
        <v>0</v>
      </c>
      <c r="L32" s="17">
        <f t="shared" si="7"/>
        <v>0</v>
      </c>
      <c r="M32" s="17">
        <f t="shared" si="8"/>
        <v>0</v>
      </c>
      <c r="N32" s="18">
        <f t="shared" si="9"/>
        <v>76412</v>
      </c>
      <c r="O32" s="17">
        <f t="shared" si="10"/>
        <v>7568</v>
      </c>
      <c r="P32" s="17">
        <f t="shared" si="11"/>
        <v>10595</v>
      </c>
      <c r="Q32" s="17">
        <f t="shared" si="18"/>
        <v>87</v>
      </c>
      <c r="R32" s="17">
        <f t="shared" si="19"/>
        <v>0</v>
      </c>
      <c r="S32" s="17">
        <f t="shared" si="20"/>
        <v>0</v>
      </c>
      <c r="T32" s="17">
        <v>0</v>
      </c>
      <c r="U32" s="17">
        <f t="shared" si="12"/>
        <v>0</v>
      </c>
      <c r="V32" s="17">
        <f t="shared" si="12"/>
        <v>0</v>
      </c>
      <c r="W32" s="17">
        <f t="shared" si="24"/>
        <v>1000</v>
      </c>
      <c r="X32" s="17"/>
      <c r="Y32" s="19">
        <f t="shared" si="13"/>
        <v>8655</v>
      </c>
      <c r="Z32" s="20">
        <f t="shared" si="3"/>
        <v>67757</v>
      </c>
      <c r="AA32" s="17"/>
      <c r="AB32" s="70"/>
      <c r="AC32" s="66"/>
      <c r="AD32" s="67"/>
    </row>
    <row r="33" spans="1:30" s="12" customFormat="1" ht="18.95" customHeight="1">
      <c r="A33" s="27"/>
      <c r="B33" s="12">
        <v>1</v>
      </c>
      <c r="C33" s="106">
        <v>46023</v>
      </c>
      <c r="D33" s="17">
        <f>IF(L14="JAN",MROUND(ROUND(1.03*D32,0),100),D32)</f>
        <v>47900</v>
      </c>
      <c r="E33" s="17">
        <f t="shared" si="14"/>
        <v>0</v>
      </c>
      <c r="F33" s="17">
        <f>IF(F$23=0,0,F32)</f>
        <v>0</v>
      </c>
      <c r="G33" s="17">
        <f t="shared" si="26"/>
        <v>0</v>
      </c>
      <c r="H33" s="17">
        <f t="shared" si="27"/>
        <v>27782</v>
      </c>
      <c r="I33" s="44">
        <f t="shared" si="16"/>
        <v>730</v>
      </c>
      <c r="J33" s="17">
        <f t="shared" si="6"/>
        <v>0</v>
      </c>
      <c r="K33" s="17">
        <f t="shared" si="7"/>
        <v>0</v>
      </c>
      <c r="L33" s="17">
        <f t="shared" si="7"/>
        <v>0</v>
      </c>
      <c r="M33" s="17">
        <f t="shared" si="8"/>
        <v>0</v>
      </c>
      <c r="N33" s="18">
        <f t="shared" si="9"/>
        <v>76412</v>
      </c>
      <c r="O33" s="17">
        <f t="shared" si="10"/>
        <v>7568</v>
      </c>
      <c r="P33" s="17">
        <f t="shared" si="11"/>
        <v>10595</v>
      </c>
      <c r="Q33" s="17">
        <f t="shared" si="18"/>
        <v>87</v>
      </c>
      <c r="R33" s="17">
        <f t="shared" si="19"/>
        <v>0</v>
      </c>
      <c r="S33" s="17">
        <f t="shared" si="20"/>
        <v>0</v>
      </c>
      <c r="T33" s="17">
        <v>0</v>
      </c>
      <c r="U33" s="17">
        <f t="shared" si="12"/>
        <v>0</v>
      </c>
      <c r="V33" s="17">
        <f t="shared" si="12"/>
        <v>0</v>
      </c>
      <c r="W33" s="17">
        <f t="shared" si="24"/>
        <v>1000</v>
      </c>
      <c r="X33" s="17"/>
      <c r="Y33" s="19">
        <f t="shared" si="13"/>
        <v>8655</v>
      </c>
      <c r="Z33" s="20">
        <f t="shared" si="3"/>
        <v>67757</v>
      </c>
      <c r="AA33" s="17"/>
      <c r="AB33" s="70"/>
      <c r="AC33" s="66"/>
      <c r="AD33" s="67"/>
    </row>
    <row r="34" spans="1:30" s="12" customFormat="1" ht="18.95" customHeight="1">
      <c r="A34" s="27"/>
      <c r="B34" s="12">
        <v>2</v>
      </c>
      <c r="C34" s="106">
        <v>46054</v>
      </c>
      <c r="D34" s="17">
        <f t="shared" si="25"/>
        <v>47900</v>
      </c>
      <c r="E34" s="17">
        <f t="shared" si="14"/>
        <v>0</v>
      </c>
      <c r="F34" s="17">
        <f>IF(F$23=0,0,F33)</f>
        <v>0</v>
      </c>
      <c r="G34" s="17">
        <f t="shared" si="26"/>
        <v>0</v>
      </c>
      <c r="H34" s="17">
        <f t="shared" si="27"/>
        <v>27782</v>
      </c>
      <c r="I34" s="44">
        <f t="shared" si="16"/>
        <v>730</v>
      </c>
      <c r="J34" s="17">
        <f t="shared" si="6"/>
        <v>0</v>
      </c>
      <c r="K34" s="17">
        <f t="shared" si="7"/>
        <v>0</v>
      </c>
      <c r="L34" s="17">
        <f t="shared" si="7"/>
        <v>0</v>
      </c>
      <c r="M34" s="17">
        <f t="shared" si="8"/>
        <v>0</v>
      </c>
      <c r="N34" s="18">
        <f t="shared" si="9"/>
        <v>76412</v>
      </c>
      <c r="O34" s="17">
        <f t="shared" si="10"/>
        <v>7568</v>
      </c>
      <c r="P34" s="17">
        <f t="shared" si="11"/>
        <v>10595</v>
      </c>
      <c r="Q34" s="17">
        <f t="shared" si="18"/>
        <v>87</v>
      </c>
      <c r="R34" s="17">
        <f t="shared" si="19"/>
        <v>0</v>
      </c>
      <c r="S34" s="17">
        <f t="shared" si="20"/>
        <v>0</v>
      </c>
      <c r="T34" s="17">
        <v>0</v>
      </c>
      <c r="U34" s="17">
        <f t="shared" si="12"/>
        <v>0</v>
      </c>
      <c r="V34" s="17">
        <f t="shared" si="12"/>
        <v>0</v>
      </c>
      <c r="W34" s="17">
        <f t="shared" si="24"/>
        <v>1000</v>
      </c>
      <c r="X34" s="17"/>
      <c r="Y34" s="19">
        <f t="shared" si="13"/>
        <v>8655</v>
      </c>
      <c r="Z34" s="20">
        <f t="shared" si="3"/>
        <v>67757</v>
      </c>
      <c r="AA34" s="17"/>
      <c r="AB34" s="70"/>
      <c r="AC34" s="66"/>
      <c r="AD34" s="67"/>
    </row>
    <row r="35" spans="1:30" s="12" customFormat="1" ht="18.95" customHeight="1">
      <c r="A35" s="27"/>
      <c r="C35" s="107" t="s">
        <v>212</v>
      </c>
      <c r="D35" s="17"/>
      <c r="E35" s="17"/>
      <c r="F35" s="17"/>
      <c r="G35" s="17"/>
      <c r="H35" s="17">
        <f>(ROUND(55%*D23,0)-ROUND(53%*D23,0))*3</f>
        <v>2790</v>
      </c>
      <c r="I35" s="17"/>
      <c r="J35" s="17"/>
      <c r="K35" s="17"/>
      <c r="L35" s="17"/>
      <c r="M35" s="17"/>
      <c r="N35" s="18">
        <f>H35</f>
        <v>2790</v>
      </c>
      <c r="O35" s="17">
        <f>IF(E14="Yes",ROUND(H35*10/100,0),IF(E14="no",ROUNDDOWN(N35,-2)))</f>
        <v>279</v>
      </c>
      <c r="P35" s="17">
        <f t="shared" si="11"/>
        <v>391</v>
      </c>
      <c r="Q35" s="17"/>
      <c r="R35" s="17"/>
      <c r="S35" s="17">
        <v>0</v>
      </c>
      <c r="T35" s="17"/>
      <c r="U35" s="17"/>
      <c r="V35" s="17"/>
      <c r="W35" s="17"/>
      <c r="X35" s="17"/>
      <c r="Y35" s="19">
        <f t="shared" si="13"/>
        <v>279</v>
      </c>
      <c r="Z35" s="20">
        <f t="shared" si="3"/>
        <v>2511</v>
      </c>
      <c r="AA35" s="17"/>
      <c r="AB35" s="67"/>
      <c r="AC35" s="67"/>
      <c r="AD35" s="67"/>
    </row>
    <row r="36" spans="1:30" s="12" customFormat="1" ht="18.95" customHeight="1">
      <c r="A36" s="27"/>
      <c r="C36" s="107" t="s">
        <v>213</v>
      </c>
      <c r="D36" s="17"/>
      <c r="E36" s="17"/>
      <c r="F36" s="17"/>
      <c r="G36" s="17"/>
      <c r="H36" s="17">
        <f>(ROUND(58%*D27,0)-ROUND(55%*D27,0))*3</f>
        <v>4311</v>
      </c>
      <c r="I36" s="17"/>
      <c r="J36" s="17"/>
      <c r="K36" s="17"/>
      <c r="L36" s="17"/>
      <c r="M36" s="17"/>
      <c r="N36" s="18">
        <f>H36</f>
        <v>4311</v>
      </c>
      <c r="O36" s="17">
        <f>IF(E14="Yes",ROUND(H36*10/100,0),IF(E14="no",ROUNDDOWN(N36,-2)))</f>
        <v>431</v>
      </c>
      <c r="P36" s="17">
        <f t="shared" si="11"/>
        <v>604</v>
      </c>
      <c r="Q36" s="17"/>
      <c r="R36" s="17"/>
      <c r="S36" s="17"/>
      <c r="T36" s="17"/>
      <c r="U36" s="17"/>
      <c r="V36" s="17"/>
      <c r="W36" s="17"/>
      <c r="X36" s="17"/>
      <c r="Y36" s="19">
        <f t="shared" si="13"/>
        <v>431</v>
      </c>
      <c r="Z36" s="20">
        <f t="shared" si="3"/>
        <v>3880</v>
      </c>
      <c r="AA36" s="17"/>
      <c r="AB36" s="67"/>
      <c r="AC36" s="67"/>
      <c r="AD36" s="67"/>
    </row>
    <row r="37" spans="1:30" s="12" customFormat="1" ht="18.95" customHeight="1">
      <c r="A37" s="27"/>
      <c r="C37" s="108" t="s">
        <v>25</v>
      </c>
      <c r="D37" s="17">
        <f>IF(O14="Yes",6908,0)</f>
        <v>6908</v>
      </c>
      <c r="E37" s="17"/>
      <c r="F37" s="17"/>
      <c r="G37" s="17"/>
      <c r="H37" s="17"/>
      <c r="I37" s="17"/>
      <c r="J37" s="17"/>
      <c r="K37" s="17"/>
      <c r="L37" s="17"/>
      <c r="M37" s="17"/>
      <c r="N37" s="18">
        <f>SUM(D37:M37)</f>
        <v>6908</v>
      </c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9">
        <f t="shared" si="13"/>
        <v>0</v>
      </c>
      <c r="Z37" s="20">
        <f t="shared" si="3"/>
        <v>6908</v>
      </c>
      <c r="AA37" s="17"/>
      <c r="AB37" s="67"/>
      <c r="AC37" s="67"/>
      <c r="AD37" s="67"/>
    </row>
    <row r="38" spans="1:30" s="12" customFormat="1" ht="18.95" customHeight="1">
      <c r="A38" s="27"/>
      <c r="C38" s="107" t="s">
        <v>26</v>
      </c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8">
        <f t="shared" si="9"/>
        <v>0</v>
      </c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9">
        <f t="shared" ref="Y38:Y41" si="28">SUM(O38:X38)</f>
        <v>0</v>
      </c>
      <c r="Z38" s="20">
        <f t="shared" si="3"/>
        <v>0</v>
      </c>
      <c r="AA38" s="17"/>
      <c r="AB38" s="67"/>
      <c r="AC38" s="67"/>
      <c r="AD38" s="67"/>
    </row>
    <row r="39" spans="1:30" s="12" customFormat="1" ht="18.95" customHeight="1">
      <c r="A39" s="27"/>
      <c r="C39" s="107" t="s">
        <v>41</v>
      </c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8">
        <f t="shared" si="9"/>
        <v>0</v>
      </c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9">
        <f t="shared" si="28"/>
        <v>0</v>
      </c>
      <c r="Z39" s="20">
        <f t="shared" si="3"/>
        <v>0</v>
      </c>
      <c r="AA39" s="17"/>
      <c r="AB39" s="67"/>
      <c r="AC39" s="67"/>
      <c r="AD39" s="67"/>
    </row>
    <row r="40" spans="1:30" s="12" customFormat="1" ht="18.95" customHeight="1">
      <c r="A40" s="27"/>
      <c r="C40" s="107" t="s">
        <v>42</v>
      </c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8">
        <f t="shared" si="9"/>
        <v>0</v>
      </c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9">
        <f t="shared" si="28"/>
        <v>0</v>
      </c>
      <c r="Z40" s="20">
        <f t="shared" si="3"/>
        <v>0</v>
      </c>
      <c r="AA40" s="17"/>
      <c r="AB40" s="67"/>
      <c r="AC40" s="67"/>
      <c r="AD40" s="67"/>
    </row>
    <row r="41" spans="1:30" s="12" customFormat="1" ht="18.95" customHeight="1">
      <c r="A41" s="27"/>
      <c r="C41" s="107" t="s">
        <v>29</v>
      </c>
      <c r="D41" s="17"/>
      <c r="E41" s="17">
        <v>0</v>
      </c>
      <c r="F41" s="17">
        <v>0</v>
      </c>
      <c r="G41" s="17"/>
      <c r="H41" s="17"/>
      <c r="I41" s="17"/>
      <c r="J41" s="17"/>
      <c r="K41" s="17"/>
      <c r="L41" s="17"/>
      <c r="M41" s="17"/>
      <c r="N41" s="18">
        <f t="shared" si="9"/>
        <v>0</v>
      </c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9">
        <f t="shared" si="28"/>
        <v>0</v>
      </c>
      <c r="Z41" s="20">
        <f t="shared" si="3"/>
        <v>0</v>
      </c>
      <c r="AA41" s="17"/>
      <c r="AB41" s="67"/>
      <c r="AC41" s="67"/>
      <c r="AD41" s="67"/>
    </row>
    <row r="42" spans="1:30" s="13" customFormat="1" ht="70.5" customHeight="1">
      <c r="A42" s="28"/>
      <c r="C42" s="109" t="s">
        <v>21</v>
      </c>
      <c r="D42" s="110">
        <f t="shared" ref="D42:Z42" si="29">SUM(D23:D41)</f>
        <v>576108</v>
      </c>
      <c r="E42" s="110">
        <f t="shared" si="29"/>
        <v>0</v>
      </c>
      <c r="F42" s="110">
        <f t="shared" si="29"/>
        <v>0</v>
      </c>
      <c r="G42" s="110">
        <f t="shared" si="29"/>
        <v>0</v>
      </c>
      <c r="H42" s="110">
        <f t="shared" si="29"/>
        <v>326416</v>
      </c>
      <c r="I42" s="110">
        <f t="shared" si="29"/>
        <v>8760</v>
      </c>
      <c r="J42" s="110">
        <f t="shared" si="29"/>
        <v>0</v>
      </c>
      <c r="K42" s="110">
        <f t="shared" si="29"/>
        <v>0</v>
      </c>
      <c r="L42" s="110">
        <f t="shared" si="29"/>
        <v>0</v>
      </c>
      <c r="M42" s="110">
        <f t="shared" si="29"/>
        <v>0</v>
      </c>
      <c r="N42" s="110">
        <f t="shared" si="29"/>
        <v>911284</v>
      </c>
      <c r="O42" s="110">
        <f t="shared" si="29"/>
        <v>89564</v>
      </c>
      <c r="P42" s="110">
        <f t="shared" si="29"/>
        <v>125385</v>
      </c>
      <c r="Q42" s="110">
        <f t="shared" si="29"/>
        <v>1044</v>
      </c>
      <c r="R42" s="110">
        <f t="shared" si="29"/>
        <v>0</v>
      </c>
      <c r="S42" s="110">
        <f t="shared" si="29"/>
        <v>0</v>
      </c>
      <c r="T42" s="111">
        <f t="shared" si="29"/>
        <v>0</v>
      </c>
      <c r="U42" s="110">
        <f t="shared" si="29"/>
        <v>0</v>
      </c>
      <c r="V42" s="110">
        <f t="shared" si="29"/>
        <v>0</v>
      </c>
      <c r="W42" s="110">
        <f t="shared" si="29"/>
        <v>12000</v>
      </c>
      <c r="X42" s="110">
        <f t="shared" si="29"/>
        <v>0</v>
      </c>
      <c r="Y42" s="111">
        <f t="shared" si="29"/>
        <v>102608</v>
      </c>
      <c r="Z42" s="111">
        <f t="shared" si="29"/>
        <v>808676</v>
      </c>
      <c r="AA42" s="112"/>
      <c r="AB42" s="68"/>
      <c r="AC42" s="68"/>
      <c r="AD42" s="68"/>
    </row>
    <row r="43" spans="1:30" s="4" customFormat="1">
      <c r="A43" s="29"/>
      <c r="AB43" s="69"/>
      <c r="AC43" s="69"/>
      <c r="AD43" s="69"/>
    </row>
    <row r="44" spans="1:30" s="4" customFormat="1">
      <c r="A44" s="29"/>
      <c r="AB44" s="69"/>
      <c r="AC44" s="69"/>
      <c r="AD44" s="69"/>
    </row>
    <row r="45" spans="1:30" s="4" customFormat="1">
      <c r="A45" s="29"/>
      <c r="AB45" s="69"/>
      <c r="AC45" s="69"/>
      <c r="AD45" s="69"/>
    </row>
    <row r="46" spans="1:30"/>
    <row r="47" spans="1:30">
      <c r="E47" s="15" t="s">
        <v>22</v>
      </c>
      <c r="Z47" s="15" t="s">
        <v>23</v>
      </c>
    </row>
    <row r="48" spans="1:30"/>
    <row r="49" spans="3:27">
      <c r="C49" s="173"/>
      <c r="D49" s="173"/>
      <c r="E49" s="173"/>
      <c r="F49" s="173"/>
      <c r="G49" s="173"/>
      <c r="H49" s="173"/>
      <c r="I49" s="173"/>
      <c r="J49" s="173"/>
      <c r="K49" s="173"/>
      <c r="L49" s="173"/>
      <c r="M49" s="173"/>
      <c r="N49" s="173"/>
      <c r="O49" s="173"/>
      <c r="P49" s="173"/>
      <c r="Q49" s="173"/>
      <c r="R49" s="173"/>
      <c r="S49" s="173"/>
      <c r="T49" s="173"/>
      <c r="U49" s="173"/>
      <c r="V49" s="173"/>
      <c r="W49" s="173"/>
      <c r="X49" s="173"/>
      <c r="Y49" s="173"/>
      <c r="Z49" s="173"/>
      <c r="AA49" s="173"/>
    </row>
  </sheetData>
  <sheetProtection password="9090" sheet="1" objects="1" scenarios="1"/>
  <customSheetViews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47">
    <mergeCell ref="C21:N21"/>
    <mergeCell ref="O21:Y21"/>
    <mergeCell ref="Z21:Z22"/>
    <mergeCell ref="AA21:AA22"/>
    <mergeCell ref="C49:AA49"/>
    <mergeCell ref="C20:D20"/>
    <mergeCell ref="Q17:R17"/>
    <mergeCell ref="Q18:R18"/>
    <mergeCell ref="E17:H17"/>
    <mergeCell ref="E18:H18"/>
    <mergeCell ref="C17:D17"/>
    <mergeCell ref="C19:D19"/>
    <mergeCell ref="M17:O17"/>
    <mergeCell ref="M18:O18"/>
    <mergeCell ref="M19:O19"/>
    <mergeCell ref="E20:H20"/>
    <mergeCell ref="I20:L20"/>
    <mergeCell ref="M20:O20"/>
    <mergeCell ref="Q20:R20"/>
    <mergeCell ref="Z20:AA20"/>
    <mergeCell ref="E19:H19"/>
    <mergeCell ref="I17:L17"/>
    <mergeCell ref="I18:L18"/>
    <mergeCell ref="I19:L19"/>
    <mergeCell ref="Q19:R19"/>
    <mergeCell ref="Z19:AA19"/>
    <mergeCell ref="Z18:AA18"/>
    <mergeCell ref="S17:V17"/>
    <mergeCell ref="S19:V19"/>
    <mergeCell ref="W17:Y17"/>
    <mergeCell ref="W18:Y18"/>
    <mergeCell ref="W19:Y19"/>
    <mergeCell ref="W20:Y20"/>
    <mergeCell ref="S20:V20"/>
    <mergeCell ref="C14:D14"/>
    <mergeCell ref="E14:F14"/>
    <mergeCell ref="G14:K14"/>
    <mergeCell ref="C16:AA16"/>
    <mergeCell ref="S18:V18"/>
    <mergeCell ref="Z17:AA17"/>
    <mergeCell ref="L14:M14"/>
    <mergeCell ref="Y14:Z14"/>
    <mergeCell ref="S14:T14"/>
    <mergeCell ref="U14:V14"/>
    <mergeCell ref="W14:X14"/>
    <mergeCell ref="Q14:R14"/>
    <mergeCell ref="C15:AA15"/>
  </mergeCells>
  <phoneticPr fontId="0" type="noConversion"/>
  <conditionalFormatting sqref="D23:W41 X24:X41">
    <cfRule type="cellIs" dxfId="3" priority="8" stopIfTrue="1" operator="equal">
      <formula>0</formula>
    </cfRule>
  </conditionalFormatting>
  <dataValidations count="4">
    <dataValidation type="list" allowBlank="1" showInputMessage="1" showErrorMessage="1" sqref="E14:F14 O14:P14 AA14" xr:uid="{00000000-0002-0000-0000-000000000000}">
      <formula1>"YES,NO"</formula1>
    </dataValidation>
    <dataValidation type="list" allowBlank="1" showInputMessage="1" showErrorMessage="1" sqref="L14:M14" xr:uid="{00000000-0002-0000-0000-000001000000}">
      <formula1>"JAN,JULY"</formula1>
    </dataValidation>
    <dataValidation type="list" allowBlank="1" showInputMessage="1" showErrorMessage="1" sqref="S14:T14" xr:uid="{00000000-0002-0000-0000-000002000000}">
      <formula1>"RURAL,URBAN"</formula1>
    </dataValidation>
    <dataValidation type="list" allowBlank="1" showInputMessage="1" showErrorMessage="1" sqref="W14:X14" xr:uid="{00000000-0002-0000-0000-000003000000}">
      <formula1>"1800,1900,4200,4600,4800,5400"</formula1>
    </dataValidation>
  </dataValidations>
  <printOptions horizontalCentered="1"/>
  <pageMargins left="0.15748031496063" right="0.15748031496063" top="0.24" bottom="0.22" header="0.22" footer="0.23622047244094499"/>
  <pageSetup paperSize="9" scale="69" orientation="landscape" r:id="rId3"/>
  <headerFooter alignWithMargins="0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FFFF00"/>
  </sheetPr>
  <dimension ref="A1:DR22"/>
  <sheetViews>
    <sheetView zoomScale="115" zoomScaleNormal="115" workbookViewId="0">
      <selection activeCell="E9" sqref="E9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0.5703125" style="1" customWidth="1" collapsed="1"/>
    <col min="4" max="4" width="68.28515625" style="1" customWidth="1" collapsed="1"/>
    <col min="5" max="5" width="14.42578125" style="1" customWidth="1" collapsed="1"/>
    <col min="6" max="6" width="17.5703125" style="23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177" t="s">
        <v>168</v>
      </c>
      <c r="B1" s="177"/>
      <c r="C1" s="177"/>
      <c r="D1" s="177"/>
      <c r="E1" s="177"/>
      <c r="F1" s="177"/>
    </row>
    <row r="2" spans="1:122" ht="27.75" customHeight="1">
      <c r="A2" s="178" t="str">
        <f>Salary!M17&amp; " ,   " &amp;Salary!K17&amp;" PAN - "&amp;Salary!E19</f>
        <v>Parmanand Meghwal ,    PAN - xxxxxx</v>
      </c>
      <c r="B2" s="178"/>
      <c r="C2" s="178"/>
      <c r="D2" s="178"/>
      <c r="E2" s="178"/>
      <c r="F2" s="178"/>
    </row>
    <row r="3" spans="1:122" ht="15" customHeight="1">
      <c r="A3" s="55" t="s">
        <v>136</v>
      </c>
      <c r="B3" s="38">
        <v>0</v>
      </c>
      <c r="C3" s="39"/>
      <c r="D3" s="55" t="s">
        <v>149</v>
      </c>
      <c r="E3" s="38">
        <v>0</v>
      </c>
      <c r="F3" s="34" t="s">
        <v>44</v>
      </c>
      <c r="DR3" s="5" t="s">
        <v>8</v>
      </c>
    </row>
    <row r="4" spans="1:122">
      <c r="A4" s="56" t="s">
        <v>169</v>
      </c>
      <c r="B4" s="40">
        <v>0</v>
      </c>
      <c r="C4" s="41"/>
      <c r="D4" s="57" t="s">
        <v>151</v>
      </c>
      <c r="E4" s="40">
        <v>0</v>
      </c>
      <c r="F4" s="34">
        <f>Salary!D42+Salary!H42</f>
        <v>902524</v>
      </c>
      <c r="DR4" s="5"/>
    </row>
    <row r="5" spans="1:122" ht="15" customHeight="1">
      <c r="A5" s="55" t="s">
        <v>180</v>
      </c>
      <c r="B5" s="38">
        <v>0</v>
      </c>
      <c r="C5" s="39"/>
      <c r="D5" s="55" t="s">
        <v>179</v>
      </c>
      <c r="E5" s="38">
        <v>0</v>
      </c>
      <c r="F5" s="35" t="s">
        <v>16</v>
      </c>
      <c r="DR5" s="5"/>
    </row>
    <row r="6" spans="1:122" ht="17.25" customHeight="1">
      <c r="A6" s="57" t="s">
        <v>139</v>
      </c>
      <c r="B6" s="40">
        <v>0</v>
      </c>
      <c r="C6" s="41"/>
      <c r="D6" s="57" t="s">
        <v>178</v>
      </c>
      <c r="E6" s="40">
        <v>0</v>
      </c>
      <c r="F6" s="35">
        <f>'Tax Old Regime'!P46</f>
        <v>770680</v>
      </c>
      <c r="DR6" s="5"/>
    </row>
    <row r="7" spans="1:122" ht="15" customHeight="1">
      <c r="A7" s="55" t="s">
        <v>138</v>
      </c>
      <c r="B7" s="38">
        <v>0</v>
      </c>
      <c r="C7" s="39"/>
      <c r="D7" s="59" t="s">
        <v>153</v>
      </c>
      <c r="E7" s="38">
        <v>0</v>
      </c>
      <c r="F7" s="36" t="s">
        <v>24</v>
      </c>
      <c r="DR7" s="5"/>
    </row>
    <row r="8" spans="1:122" ht="15" customHeight="1">
      <c r="A8" s="58" t="s">
        <v>195</v>
      </c>
      <c r="B8" s="42">
        <v>0</v>
      </c>
      <c r="C8" s="41"/>
      <c r="D8" s="57" t="s">
        <v>157</v>
      </c>
      <c r="E8" s="42">
        <v>0</v>
      </c>
      <c r="F8" s="37">
        <f>Salary!W42</f>
        <v>12000</v>
      </c>
      <c r="DR8" s="5"/>
    </row>
    <row r="9" spans="1:122" ht="15" customHeight="1">
      <c r="A9" s="55" t="s">
        <v>137</v>
      </c>
      <c r="B9" s="38">
        <v>0</v>
      </c>
      <c r="C9" s="39"/>
      <c r="D9" s="55" t="s">
        <v>158</v>
      </c>
      <c r="E9" s="38">
        <v>0</v>
      </c>
      <c r="F9" s="179" t="s">
        <v>36</v>
      </c>
      <c r="DR9" s="5"/>
    </row>
    <row r="10" spans="1:122" ht="15" customHeight="1">
      <c r="A10" s="58" t="s">
        <v>140</v>
      </c>
      <c r="B10" s="42">
        <v>0</v>
      </c>
      <c r="C10" s="41"/>
      <c r="D10" s="58" t="s">
        <v>159</v>
      </c>
      <c r="E10" s="42">
        <v>0</v>
      </c>
      <c r="F10" s="179"/>
      <c r="DR10" s="5" t="s">
        <v>9</v>
      </c>
    </row>
    <row r="11" spans="1:122" ht="15" customHeight="1">
      <c r="A11" s="55" t="s">
        <v>141</v>
      </c>
      <c r="B11" s="38">
        <v>0</v>
      </c>
      <c r="C11" s="39"/>
      <c r="D11" s="55" t="s">
        <v>160</v>
      </c>
      <c r="E11" s="38">
        <v>0</v>
      </c>
      <c r="F11" s="179"/>
      <c r="DR11" s="5" t="s">
        <v>11</v>
      </c>
    </row>
    <row r="12" spans="1:122" ht="15" customHeight="1">
      <c r="A12" s="58" t="s">
        <v>150</v>
      </c>
      <c r="B12" s="42">
        <v>0</v>
      </c>
      <c r="C12" s="41"/>
      <c r="D12" s="58" t="s">
        <v>161</v>
      </c>
      <c r="E12" s="42">
        <v>0</v>
      </c>
      <c r="F12" s="35">
        <f>'Tax Old Regime'!P30</f>
        <v>90608</v>
      </c>
      <c r="DR12" s="5" t="s">
        <v>3</v>
      </c>
    </row>
    <row r="13" spans="1:122" ht="15" customHeight="1">
      <c r="A13" s="55" t="s">
        <v>142</v>
      </c>
      <c r="B13" s="38">
        <v>0</v>
      </c>
      <c r="C13" s="39"/>
      <c r="D13" s="55" t="s">
        <v>162</v>
      </c>
      <c r="E13" s="38">
        <v>0</v>
      </c>
      <c r="F13" s="35"/>
      <c r="DR13" s="5"/>
    </row>
    <row r="14" spans="1:122" ht="15" customHeight="1">
      <c r="A14" s="58" t="s">
        <v>144</v>
      </c>
      <c r="B14" s="42">
        <v>0</v>
      </c>
      <c r="C14" s="41"/>
      <c r="D14" s="60" t="s">
        <v>163</v>
      </c>
      <c r="E14" s="42">
        <v>0</v>
      </c>
      <c r="F14" s="180" t="s">
        <v>170</v>
      </c>
      <c r="DR14" s="5" t="s">
        <v>0</v>
      </c>
    </row>
    <row r="15" spans="1:122" ht="15" customHeight="1">
      <c r="A15" s="55" t="s">
        <v>145</v>
      </c>
      <c r="B15" s="38">
        <v>0</v>
      </c>
      <c r="C15" s="39"/>
      <c r="D15" s="55" t="s">
        <v>164</v>
      </c>
      <c r="E15" s="38">
        <v>0</v>
      </c>
      <c r="F15" s="180"/>
      <c r="DR15" s="5" t="s">
        <v>11</v>
      </c>
    </row>
    <row r="16" spans="1:122" ht="15" customHeight="1">
      <c r="A16" s="58" t="s">
        <v>146</v>
      </c>
      <c r="B16" s="42">
        <v>0</v>
      </c>
      <c r="C16" s="41"/>
      <c r="D16" s="58" t="s">
        <v>165</v>
      </c>
      <c r="E16" s="42">
        <v>0</v>
      </c>
      <c r="F16" s="180"/>
      <c r="DR16" s="5" t="s">
        <v>12</v>
      </c>
    </row>
    <row r="17" spans="1:122" ht="15" customHeight="1">
      <c r="A17" s="55" t="s">
        <v>147</v>
      </c>
      <c r="B17" s="38">
        <v>0</v>
      </c>
      <c r="C17" s="39"/>
      <c r="D17" s="55" t="s">
        <v>166</v>
      </c>
      <c r="E17" s="38">
        <v>0</v>
      </c>
      <c r="F17" s="183">
        <f>IF(B3&gt;=1,(F4*10%+B3),0)</f>
        <v>0</v>
      </c>
      <c r="DR17" s="5" t="s">
        <v>4</v>
      </c>
    </row>
    <row r="18" spans="1:122" ht="15" customHeight="1">
      <c r="A18" s="58" t="s">
        <v>148</v>
      </c>
      <c r="B18" s="42">
        <v>0</v>
      </c>
      <c r="C18" s="41"/>
      <c r="D18" s="58" t="s">
        <v>167</v>
      </c>
      <c r="E18" s="42">
        <v>0</v>
      </c>
      <c r="F18" s="183"/>
      <c r="DR18" s="5" t="s">
        <v>13</v>
      </c>
    </row>
    <row r="19" spans="1:122" ht="15" customHeight="1">
      <c r="A19" s="182" t="str">
        <f>'Tax Old Regime'!A62</f>
        <v>Income Tax Payable</v>
      </c>
      <c r="B19" s="182"/>
      <c r="C19" s="31"/>
      <c r="D19" s="32">
        <f>'Tax Old Regime'!P62</f>
        <v>57301</v>
      </c>
      <c r="E19" s="43" t="s">
        <v>40</v>
      </c>
      <c r="F19" s="33">
        <f>Salary!I42</f>
        <v>8760</v>
      </c>
      <c r="DR19" s="5" t="s">
        <v>6</v>
      </c>
    </row>
    <row r="20" spans="1:122" ht="15" customHeight="1">
      <c r="A20" s="181" t="str">
        <f>"Total Rebate of (US 80C, 80CCC,80CCD(1)) =  "&amp;'Tax Old Regime'!P30</f>
        <v>Total Rebate of (US 80C, 80CCC,80CCD(1)) =  90608</v>
      </c>
      <c r="B20" s="181"/>
      <c r="C20" s="2"/>
      <c r="D20" s="24" t="str">
        <f>"Investable Amount = "&amp;(150000-'Tax Old Regime'!P30)</f>
        <v>Investable Amount = 59392</v>
      </c>
      <c r="E20" s="2"/>
      <c r="F20" s="2"/>
      <c r="DR20" s="5" t="s">
        <v>10</v>
      </c>
    </row>
    <row r="21" spans="1:122" ht="48" customHeight="1">
      <c r="A21" s="175" t="s">
        <v>191</v>
      </c>
      <c r="B21" s="176"/>
      <c r="C21" s="176"/>
      <c r="D21" s="176"/>
      <c r="E21" s="176"/>
      <c r="F21" s="176"/>
    </row>
    <row r="22" spans="1:122" ht="24.75" customHeight="1">
      <c r="A22" s="174" t="s">
        <v>190</v>
      </c>
      <c r="B22" s="174"/>
      <c r="C22" s="174"/>
      <c r="D22" s="174"/>
      <c r="E22" s="174"/>
      <c r="F22" s="174"/>
    </row>
  </sheetData>
  <sheetProtection password="FC12" sheet="1" objects="1" scenarios="1"/>
  <customSheetViews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1"/>
      <headerFooter alignWithMargins="0"/>
    </customSheetView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2"/>
      <headerFooter alignWithMargins="0"/>
    </customSheetView>
  </customSheetViews>
  <mergeCells count="9">
    <mergeCell ref="A22:F22"/>
    <mergeCell ref="A21:F21"/>
    <mergeCell ref="A1:F1"/>
    <mergeCell ref="A2:F2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R11:DR20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 xr:uid="{00000000-0002-0000-0100-000000000000}">
      <formula1>H18</formula1>
    </dataValidation>
    <dataValidation type="whole" operator="lessThanOrEqual" allowBlank="1" showInputMessage="1" showErrorMessage="1" errorTitle="Sorry...!!! Not Allow" error="HRA Rebate Permissible up to Actual HRA Recieved" sqref="B3" xr:uid="{00000000-0002-0000-0100-000001000000}">
      <formula1>F19</formula1>
    </dataValidation>
    <dataValidation type="whole" operator="lessThanOrEqual" allowBlank="1" showInputMessage="1" showErrorMessage="1" errorTitle="Sorry...!!! Not Allow" error="HRA Rebate Permissible up to Actual HRA Recieved" sqref="C3:C13" xr:uid="{00000000-0002-0000-0100-000002000000}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 xr:uid="{00000000-0002-0000-0100-000003000000}">
      <formula1>G28</formula1>
    </dataValidation>
    <dataValidation type="whole" operator="lessThan" allowBlank="1" showInputMessage="1" showErrorMessage="1" error="Maximum 2 lakh allowed " sqref="B9" xr:uid="{00000000-0002-0000-0100-000004000000}">
      <formula1>200001</formula1>
    </dataValidation>
    <dataValidation type="whole" operator="lessThan" allowBlank="1" showInputMessage="1" showErrorMessage="1" sqref="E14" xr:uid="{00000000-0002-0000-0100-000005000000}">
      <formula1>10001</formula1>
    </dataValidation>
    <dataValidation type="whole" operator="lessThan" allowBlank="1" showInputMessage="1" showErrorMessage="1" error="max 5000 allowed" sqref="B4" xr:uid="{00000000-0002-0000-0100-000006000000}">
      <formula1>5001</formula1>
    </dataValidation>
    <dataValidation type="whole" operator="lessThan" allowBlank="1" showInputMessage="1" showErrorMessage="1" error="max 50000 allowed" sqref="E7" xr:uid="{00000000-0002-0000-0100-000007000000}">
      <formula1>50001</formula1>
    </dataValidation>
    <dataValidation type="whole" operator="lessThan" allowBlank="1" showInputMessage="1" showErrorMessage="1" error="max 25000 for senior citizen max 50000" sqref="E8" xr:uid="{00000000-0002-0000-0100-000008000000}">
      <formula1>50001</formula1>
    </dataValidation>
  </dataValidations>
  <pageMargins left="0.5" right="0.5" top="0.2" bottom="0.2" header="0" footer="0"/>
  <pageSetup paperSize="9" scale="56" orientation="portrait" r:id="rId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>
    <tabColor rgb="FF0000FF"/>
  </sheetPr>
  <dimension ref="A1:R81"/>
  <sheetViews>
    <sheetView showGridLines="0" workbookViewId="0">
      <selection activeCell="E60" sqref="E60:M60"/>
    </sheetView>
  </sheetViews>
  <sheetFormatPr defaultColWidth="0" defaultRowHeight="15.75" zeroHeight="1"/>
  <cols>
    <col min="1" max="1" width="4.5703125" style="7" customWidth="1" collapsed="1"/>
    <col min="2" max="2" width="4.5703125" style="6" customWidth="1" collapsed="1"/>
    <col min="3" max="4" width="9.140625" style="6" customWidth="1" collapsed="1"/>
    <col min="5" max="5" width="3.85546875" style="6" customWidth="1" collapsed="1"/>
    <col min="6" max="6" width="5.42578125" style="6" customWidth="1" collapsed="1"/>
    <col min="7" max="7" width="4.5703125" style="6" customWidth="1" collapsed="1"/>
    <col min="8" max="8" width="11.85546875" style="6" customWidth="1" collapsed="1"/>
    <col min="9" max="9" width="5.140625" style="6" customWidth="1" collapsed="1"/>
    <col min="10" max="10" width="11.7109375" style="6" customWidth="1" collapsed="1"/>
    <col min="11" max="11" width="11.42578125" style="6" customWidth="1" collapsed="1"/>
    <col min="12" max="12" width="9.42578125" style="6" customWidth="1" collapsed="1"/>
    <col min="13" max="13" width="4.5703125" style="6" customWidth="1" collapsed="1"/>
    <col min="14" max="14" width="12.7109375" style="6" customWidth="1" collapsed="1"/>
    <col min="15" max="15" width="3.85546875" style="8" customWidth="1" collapsed="1"/>
    <col min="16" max="16" width="19.28515625" style="9" customWidth="1" collapsed="1"/>
    <col min="17" max="17" width="2.42578125" customWidth="1" collapsed="1"/>
    <col min="18" max="18" width="0" hidden="1" customWidth="1"/>
    <col min="19" max="16384" width="9.140625" hidden="1" collapsed="1"/>
  </cols>
  <sheetData>
    <row r="1" spans="1:16" s="10" customFormat="1" ht="18.75">
      <c r="A1" s="242" t="str">
        <f>Salary!C15</f>
        <v>JHS BAKAURA</v>
      </c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  <c r="M1" s="242"/>
      <c r="N1" s="242"/>
      <c r="O1" s="242"/>
      <c r="P1" s="242"/>
    </row>
    <row r="2" spans="1:16" s="10" customFormat="1" ht="21.75" thickBot="1">
      <c r="A2" s="243" t="s">
        <v>214</v>
      </c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</row>
    <row r="3" spans="1:16" s="10" customFormat="1" ht="15" customHeight="1">
      <c r="A3" s="116">
        <v>1</v>
      </c>
      <c r="B3" s="244" t="s">
        <v>89</v>
      </c>
      <c r="C3" s="245"/>
      <c r="D3" s="257" t="str">
        <f>Salary!M17</f>
        <v>Parmanand Meghwal</v>
      </c>
      <c r="E3" s="257"/>
      <c r="F3" s="257"/>
      <c r="G3" s="257"/>
      <c r="H3" s="257"/>
      <c r="I3" s="257"/>
      <c r="J3" s="117" t="s">
        <v>48</v>
      </c>
      <c r="K3" s="258" t="str">
        <f>Salary!M19</f>
        <v>TEACHER</v>
      </c>
      <c r="L3" s="258"/>
      <c r="M3" s="258"/>
      <c r="N3" s="118" t="s">
        <v>17</v>
      </c>
      <c r="O3" s="246" t="str">
        <f>Salary!E19</f>
        <v>xxxxxx</v>
      </c>
      <c r="P3" s="247"/>
    </row>
    <row r="4" spans="1:16" s="10" customFormat="1" ht="15" customHeight="1">
      <c r="A4" s="119">
        <v>2</v>
      </c>
      <c r="B4" s="248" t="s">
        <v>93</v>
      </c>
      <c r="C4" s="248"/>
      <c r="D4" s="195"/>
      <c r="E4" s="195"/>
      <c r="F4" s="195"/>
      <c r="G4" s="195"/>
      <c r="H4" s="195"/>
      <c r="I4" s="195"/>
      <c r="J4" s="248"/>
      <c r="K4" s="195"/>
      <c r="L4" s="195"/>
      <c r="M4" s="195"/>
      <c r="N4" s="248"/>
      <c r="O4" s="120" t="s">
        <v>77</v>
      </c>
      <c r="P4" s="121">
        <f>IF(Salary!E14="No",Salary!N42,(Salary!N42+Salary!P42))</f>
        <v>1036669</v>
      </c>
    </row>
    <row r="5" spans="1:16" s="10" customFormat="1" ht="15" customHeight="1">
      <c r="A5" s="119">
        <v>3</v>
      </c>
      <c r="B5" s="249" t="s">
        <v>94</v>
      </c>
      <c r="C5" s="249"/>
      <c r="D5" s="249"/>
      <c r="E5" s="249"/>
      <c r="F5" s="249"/>
      <c r="G5" s="249"/>
      <c r="H5" s="249"/>
      <c r="I5" s="249"/>
      <c r="J5" s="249"/>
      <c r="K5" s="249"/>
      <c r="L5" s="249"/>
      <c r="M5" s="249"/>
      <c r="N5" s="249"/>
      <c r="O5" s="120" t="s">
        <v>77</v>
      </c>
      <c r="P5" s="122">
        <f>'Other Deduction'!B3</f>
        <v>0</v>
      </c>
    </row>
    <row r="6" spans="1:16" s="10" customFormat="1" ht="15" customHeight="1">
      <c r="A6" s="119">
        <v>4</v>
      </c>
      <c r="B6" s="227" t="s">
        <v>198</v>
      </c>
      <c r="C6" s="227"/>
      <c r="D6" s="227"/>
      <c r="E6" s="227"/>
      <c r="F6" s="227"/>
      <c r="G6" s="227"/>
      <c r="H6" s="227"/>
      <c r="I6" s="227"/>
      <c r="J6" s="227"/>
      <c r="K6" s="227"/>
      <c r="L6" s="227"/>
      <c r="M6" s="227"/>
      <c r="N6" s="227"/>
      <c r="O6" s="120" t="s">
        <v>77</v>
      </c>
      <c r="P6" s="122">
        <f>P4-P5</f>
        <v>1036669</v>
      </c>
    </row>
    <row r="7" spans="1:16" s="10" customFormat="1" ht="15" customHeight="1">
      <c r="A7" s="192">
        <v>5</v>
      </c>
      <c r="B7" s="253" t="s">
        <v>101</v>
      </c>
      <c r="C7" s="254"/>
      <c r="D7" s="254"/>
      <c r="E7" s="254"/>
      <c r="F7" s="254"/>
      <c r="G7" s="254"/>
      <c r="H7" s="254"/>
      <c r="I7" s="254"/>
      <c r="J7" s="254"/>
      <c r="K7" s="254"/>
      <c r="L7" s="255">
        <f>'Other Deduction'!B4</f>
        <v>0</v>
      </c>
      <c r="M7" s="255"/>
      <c r="N7" s="255"/>
      <c r="O7" s="259"/>
      <c r="P7" s="260"/>
    </row>
    <row r="8" spans="1:16" s="10" customFormat="1" ht="15" customHeight="1">
      <c r="A8" s="193"/>
      <c r="B8" s="214" t="s">
        <v>102</v>
      </c>
      <c r="C8" s="215"/>
      <c r="D8" s="215"/>
      <c r="E8" s="215"/>
      <c r="F8" s="215"/>
      <c r="G8" s="215"/>
      <c r="H8" s="215"/>
      <c r="I8" s="215"/>
      <c r="J8" s="215"/>
      <c r="K8" s="215"/>
      <c r="L8" s="255">
        <f>'Other Deduction'!B5</f>
        <v>0</v>
      </c>
      <c r="M8" s="255"/>
      <c r="N8" s="255"/>
      <c r="O8" s="261"/>
      <c r="P8" s="262"/>
    </row>
    <row r="9" spans="1:16" s="10" customFormat="1" ht="15" customHeight="1">
      <c r="A9" s="194"/>
      <c r="B9" s="256" t="s">
        <v>103</v>
      </c>
      <c r="C9" s="254"/>
      <c r="D9" s="254"/>
      <c r="E9" s="254"/>
      <c r="F9" s="254"/>
      <c r="G9" s="254"/>
      <c r="H9" s="254"/>
      <c r="I9" s="254"/>
      <c r="J9" s="254"/>
      <c r="K9" s="254"/>
      <c r="L9" s="255">
        <f>IF(P6&lt;50000,P6,50000)</f>
        <v>50000</v>
      </c>
      <c r="M9" s="255"/>
      <c r="N9" s="255"/>
      <c r="O9" s="120" t="s">
        <v>77</v>
      </c>
      <c r="P9" s="122">
        <f>SUM(L7:N9)</f>
        <v>50000</v>
      </c>
    </row>
    <row r="10" spans="1:16" s="10" customFormat="1" ht="15" customHeight="1">
      <c r="A10" s="119">
        <v>6</v>
      </c>
      <c r="B10" s="250" t="s">
        <v>95</v>
      </c>
      <c r="C10" s="251"/>
      <c r="D10" s="251"/>
      <c r="E10" s="251"/>
      <c r="F10" s="251"/>
      <c r="G10" s="251"/>
      <c r="H10" s="251"/>
      <c r="I10" s="251"/>
      <c r="J10" s="251"/>
      <c r="K10" s="251"/>
      <c r="L10" s="251"/>
      <c r="M10" s="251"/>
      <c r="N10" s="252"/>
      <c r="O10" s="120" t="s">
        <v>77</v>
      </c>
      <c r="P10" s="122">
        <f>P6-P9</f>
        <v>986669</v>
      </c>
    </row>
    <row r="11" spans="1:16" s="10" customFormat="1" ht="15" customHeight="1">
      <c r="A11" s="289">
        <v>7</v>
      </c>
      <c r="B11" s="195" t="s">
        <v>96</v>
      </c>
      <c r="C11" s="195"/>
      <c r="D11" s="195"/>
      <c r="E11" s="195"/>
      <c r="F11" s="195"/>
      <c r="G11" s="195"/>
      <c r="H11" s="195"/>
      <c r="I11" s="195"/>
      <c r="J11" s="269" t="s">
        <v>97</v>
      </c>
      <c r="K11" s="269"/>
      <c r="L11" s="255">
        <f>'Other Deduction'!B6</f>
        <v>0</v>
      </c>
      <c r="M11" s="255"/>
      <c r="N11" s="255"/>
      <c r="O11" s="264"/>
      <c r="P11" s="265"/>
    </row>
    <row r="12" spans="1:16" s="10" customFormat="1" ht="27.75" customHeight="1">
      <c r="A12" s="289"/>
      <c r="B12" s="293" t="s">
        <v>99</v>
      </c>
      <c r="C12" s="294"/>
      <c r="D12" s="290" t="s">
        <v>98</v>
      </c>
      <c r="E12" s="291"/>
      <c r="F12" s="292"/>
      <c r="G12" s="266" t="s">
        <v>100</v>
      </c>
      <c r="H12" s="267"/>
      <c r="I12" s="268"/>
      <c r="J12" s="269" t="s">
        <v>104</v>
      </c>
      <c r="K12" s="269"/>
      <c r="L12" s="269" t="s">
        <v>47</v>
      </c>
      <c r="M12" s="269"/>
      <c r="N12" s="269"/>
      <c r="O12" s="264"/>
      <c r="P12" s="265"/>
    </row>
    <row r="13" spans="1:16" s="10" customFormat="1" ht="15" customHeight="1">
      <c r="A13" s="289"/>
      <c r="B13" s="295"/>
      <c r="C13" s="296"/>
      <c r="D13" s="272">
        <f>ROUND(L11*0.3,0)</f>
        <v>0</v>
      </c>
      <c r="E13" s="273"/>
      <c r="F13" s="274"/>
      <c r="G13" s="272">
        <f>IF((Salary!V42+'Other Deduction'!B9)&gt;200000,200000,(Salary!V42+'Other Deduction'!B9))</f>
        <v>0</v>
      </c>
      <c r="H13" s="273"/>
      <c r="I13" s="274"/>
      <c r="J13" s="255">
        <f>'Other Deduction'!B7</f>
        <v>0</v>
      </c>
      <c r="K13" s="255"/>
      <c r="L13" s="255">
        <f>D13+G13+J13</f>
        <v>0</v>
      </c>
      <c r="M13" s="255"/>
      <c r="N13" s="255"/>
      <c r="O13" s="264"/>
      <c r="P13" s="265"/>
    </row>
    <row r="14" spans="1:16" s="10" customFormat="1" ht="15" customHeight="1">
      <c r="A14" s="119"/>
      <c r="B14" s="250" t="s">
        <v>105</v>
      </c>
      <c r="C14" s="251"/>
      <c r="D14" s="251"/>
      <c r="E14" s="251"/>
      <c r="F14" s="251"/>
      <c r="G14" s="251"/>
      <c r="H14" s="251"/>
      <c r="I14" s="251"/>
      <c r="J14" s="251"/>
      <c r="K14" s="251"/>
      <c r="L14" s="251"/>
      <c r="M14" s="251"/>
      <c r="N14" s="252"/>
      <c r="O14" s="120" t="s">
        <v>77</v>
      </c>
      <c r="P14" s="122">
        <f>L11-L13</f>
        <v>0</v>
      </c>
    </row>
    <row r="15" spans="1:16" s="10" customFormat="1" ht="15" customHeight="1">
      <c r="A15" s="119">
        <v>8</v>
      </c>
      <c r="B15" s="250" t="s">
        <v>106</v>
      </c>
      <c r="C15" s="251"/>
      <c r="D15" s="251"/>
      <c r="E15" s="251"/>
      <c r="F15" s="251"/>
      <c r="G15" s="251"/>
      <c r="H15" s="251"/>
      <c r="I15" s="251"/>
      <c r="J15" s="251"/>
      <c r="K15" s="251"/>
      <c r="L15" s="251"/>
      <c r="M15" s="251"/>
      <c r="N15" s="252"/>
      <c r="O15" s="120" t="s">
        <v>77</v>
      </c>
      <c r="P15" s="122">
        <f>P10+P14</f>
        <v>986669</v>
      </c>
    </row>
    <row r="16" spans="1:16" s="10" customFormat="1" ht="15" customHeight="1">
      <c r="A16" s="119">
        <v>9</v>
      </c>
      <c r="B16" s="195" t="s">
        <v>107</v>
      </c>
      <c r="C16" s="195"/>
      <c r="D16" s="195"/>
      <c r="E16" s="195"/>
      <c r="F16" s="195"/>
      <c r="G16" s="195"/>
      <c r="H16" s="195"/>
      <c r="I16" s="195"/>
      <c r="J16" s="195"/>
      <c r="K16" s="195"/>
      <c r="L16" s="195"/>
      <c r="M16" s="195"/>
      <c r="N16" s="195"/>
      <c r="O16" s="120" t="s">
        <v>77</v>
      </c>
      <c r="P16" s="122">
        <f>'Other Deduction'!E3+'Other Deduction'!E4</f>
        <v>0</v>
      </c>
    </row>
    <row r="17" spans="1:16" s="10" customFormat="1" ht="15" customHeight="1">
      <c r="A17" s="119">
        <v>10</v>
      </c>
      <c r="B17" s="195" t="s">
        <v>108</v>
      </c>
      <c r="C17" s="195"/>
      <c r="D17" s="195"/>
      <c r="E17" s="195"/>
      <c r="F17" s="195"/>
      <c r="G17" s="195"/>
      <c r="H17" s="195"/>
      <c r="I17" s="195"/>
      <c r="J17" s="195"/>
      <c r="K17" s="195"/>
      <c r="L17" s="195"/>
      <c r="M17" s="195"/>
      <c r="N17" s="195"/>
      <c r="O17" s="120" t="s">
        <v>77</v>
      </c>
      <c r="P17" s="121">
        <f>P15+P16</f>
        <v>986669</v>
      </c>
    </row>
    <row r="18" spans="1:16" s="10" customFormat="1" ht="15" customHeight="1">
      <c r="A18" s="192">
        <v>11</v>
      </c>
      <c r="B18" s="217" t="s">
        <v>109</v>
      </c>
      <c r="C18" s="217"/>
      <c r="D18" s="217"/>
      <c r="E18" s="217"/>
      <c r="F18" s="217"/>
      <c r="G18" s="217"/>
      <c r="H18" s="217"/>
      <c r="I18" s="217"/>
      <c r="J18" s="217"/>
      <c r="K18" s="217"/>
      <c r="L18" s="217"/>
      <c r="M18" s="217"/>
      <c r="N18" s="217"/>
      <c r="O18" s="217"/>
      <c r="P18" s="275"/>
    </row>
    <row r="19" spans="1:16" s="10" customFormat="1" ht="18" customHeight="1">
      <c r="A19" s="193"/>
      <c r="B19" s="217" t="s">
        <v>154</v>
      </c>
      <c r="C19" s="217"/>
      <c r="D19" s="217"/>
      <c r="E19" s="217"/>
      <c r="F19" s="217"/>
      <c r="G19" s="217"/>
      <c r="H19" s="217"/>
      <c r="I19" s="217"/>
      <c r="J19" s="217"/>
      <c r="K19" s="217"/>
      <c r="L19" s="217"/>
      <c r="M19" s="217"/>
      <c r="N19" s="217"/>
      <c r="O19" s="217"/>
      <c r="P19" s="275"/>
    </row>
    <row r="20" spans="1:16" s="10" customFormat="1" ht="14.25" customHeight="1">
      <c r="A20" s="193"/>
      <c r="B20" s="123">
        <v>1</v>
      </c>
      <c r="C20" s="237" t="s">
        <v>152</v>
      </c>
      <c r="D20" s="238"/>
      <c r="E20" s="238"/>
      <c r="F20" s="238"/>
      <c r="G20" s="120" t="s">
        <v>77</v>
      </c>
      <c r="H20" s="124">
        <f>IF(Salary!E14="Yes",Salary!O42,0)</f>
        <v>89564</v>
      </c>
      <c r="I20" s="123">
        <v>10</v>
      </c>
      <c r="J20" s="228" t="s">
        <v>76</v>
      </c>
      <c r="K20" s="229"/>
      <c r="L20" s="230"/>
      <c r="M20" s="120" t="s">
        <v>77</v>
      </c>
      <c r="N20" s="124">
        <f>'Other Deduction'!E6</f>
        <v>0</v>
      </c>
      <c r="O20" s="125"/>
      <c r="P20" s="126"/>
    </row>
    <row r="21" spans="1:16" s="10" customFormat="1" ht="26.25" customHeight="1">
      <c r="A21" s="193"/>
      <c r="B21" s="123">
        <v>2</v>
      </c>
      <c r="C21" s="237" t="s">
        <v>72</v>
      </c>
      <c r="D21" s="238"/>
      <c r="E21" s="238"/>
      <c r="F21" s="238"/>
      <c r="G21" s="120" t="s">
        <v>77</v>
      </c>
      <c r="H21" s="124">
        <f>Salary!S42+'Other Deduction'!B10</f>
        <v>0</v>
      </c>
      <c r="I21" s="123">
        <v>11</v>
      </c>
      <c r="J21" s="239" t="s">
        <v>78</v>
      </c>
      <c r="K21" s="240"/>
      <c r="L21" s="241"/>
      <c r="M21" s="120" t="s">
        <v>77</v>
      </c>
      <c r="N21" s="127">
        <f>'Other Deduction'!B15</f>
        <v>0</v>
      </c>
      <c r="O21" s="128"/>
      <c r="P21" s="129"/>
    </row>
    <row r="22" spans="1:16" s="10" customFormat="1" ht="14.25" customHeight="1">
      <c r="A22" s="193"/>
      <c r="B22" s="123">
        <v>3</v>
      </c>
      <c r="C22" s="237" t="s">
        <v>73</v>
      </c>
      <c r="D22" s="238"/>
      <c r="E22" s="238"/>
      <c r="F22" s="238"/>
      <c r="G22" s="120" t="s">
        <v>77</v>
      </c>
      <c r="H22" s="124">
        <f>'Other Deduction'!B14</f>
        <v>0</v>
      </c>
      <c r="I22" s="123">
        <v>12</v>
      </c>
      <c r="J22" s="239" t="s">
        <v>79</v>
      </c>
      <c r="K22" s="240"/>
      <c r="L22" s="241"/>
      <c r="M22" s="120" t="s">
        <v>77</v>
      </c>
      <c r="N22" s="127">
        <f>'Other Deduction'!B12</f>
        <v>0</v>
      </c>
      <c r="O22" s="128"/>
      <c r="P22" s="129"/>
    </row>
    <row r="23" spans="1:16" s="10" customFormat="1" ht="15" customHeight="1">
      <c r="A23" s="193"/>
      <c r="B23" s="123">
        <v>4</v>
      </c>
      <c r="C23" s="237" t="s">
        <v>85</v>
      </c>
      <c r="D23" s="238"/>
      <c r="E23" s="238"/>
      <c r="F23" s="238"/>
      <c r="G23" s="120" t="s">
        <v>77</v>
      </c>
      <c r="H23" s="124">
        <f>'Other Deduction'!B16</f>
        <v>0</v>
      </c>
      <c r="I23" s="123">
        <v>13</v>
      </c>
      <c r="J23" s="239" t="s">
        <v>80</v>
      </c>
      <c r="K23" s="240"/>
      <c r="L23" s="241"/>
      <c r="M23" s="120" t="s">
        <v>77</v>
      </c>
      <c r="N23" s="124">
        <f>'Other Deduction'!E15</f>
        <v>0</v>
      </c>
      <c r="O23" s="128"/>
      <c r="P23" s="129"/>
    </row>
    <row r="24" spans="1:16" s="10" customFormat="1" ht="15.75" customHeight="1">
      <c r="A24" s="193"/>
      <c r="B24" s="123">
        <v>5</v>
      </c>
      <c r="C24" s="237" t="s">
        <v>86</v>
      </c>
      <c r="D24" s="238"/>
      <c r="E24" s="238"/>
      <c r="F24" s="238"/>
      <c r="G24" s="120" t="s">
        <v>77</v>
      </c>
      <c r="H24" s="124">
        <f>'Other Deduction'!B17</f>
        <v>0</v>
      </c>
      <c r="I24" s="123">
        <v>14</v>
      </c>
      <c r="J24" s="228" t="s">
        <v>81</v>
      </c>
      <c r="K24" s="270"/>
      <c r="L24" s="271"/>
      <c r="M24" s="120" t="s">
        <v>77</v>
      </c>
      <c r="N24" s="124">
        <f>'Other Deduction'!E16</f>
        <v>0</v>
      </c>
      <c r="O24" s="128"/>
      <c r="P24" s="129"/>
    </row>
    <row r="25" spans="1:16" s="10" customFormat="1" ht="15.75" customHeight="1">
      <c r="A25" s="193"/>
      <c r="B25" s="123">
        <v>6</v>
      </c>
      <c r="C25" s="228" t="s">
        <v>143</v>
      </c>
      <c r="D25" s="270"/>
      <c r="E25" s="270"/>
      <c r="F25" s="271"/>
      <c r="G25" s="120" t="s">
        <v>77</v>
      </c>
      <c r="H25" s="124">
        <f>IF(Salary!E14="no",Salary!O42,0)</f>
        <v>0</v>
      </c>
      <c r="I25" s="123">
        <v>15</v>
      </c>
      <c r="J25" s="228" t="s">
        <v>82</v>
      </c>
      <c r="K25" s="270"/>
      <c r="L25" s="271"/>
      <c r="M25" s="120" t="s">
        <v>77</v>
      </c>
      <c r="N25" s="124">
        <f>'Other Deduction'!B11</f>
        <v>0</v>
      </c>
      <c r="O25" s="128"/>
      <c r="P25" s="129"/>
    </row>
    <row r="26" spans="1:16" s="10" customFormat="1" ht="15" customHeight="1">
      <c r="A26" s="193"/>
      <c r="B26" s="123">
        <v>7</v>
      </c>
      <c r="C26" s="228" t="s">
        <v>74</v>
      </c>
      <c r="D26" s="270"/>
      <c r="E26" s="270"/>
      <c r="F26" s="271"/>
      <c r="G26" s="120" t="s">
        <v>77</v>
      </c>
      <c r="H26" s="127">
        <f>Salary!Q42</f>
        <v>1044</v>
      </c>
      <c r="I26" s="123">
        <v>16</v>
      </c>
      <c r="J26" s="228" t="s">
        <v>83</v>
      </c>
      <c r="K26" s="229"/>
      <c r="L26" s="230"/>
      <c r="M26" s="120" t="s">
        <v>77</v>
      </c>
      <c r="N26" s="124">
        <f>'Other Deduction'!E5</f>
        <v>0</v>
      </c>
      <c r="O26" s="128"/>
      <c r="P26" s="130"/>
    </row>
    <row r="27" spans="1:16" s="10" customFormat="1" ht="15.75" customHeight="1">
      <c r="A27" s="193"/>
      <c r="B27" s="123">
        <v>8</v>
      </c>
      <c r="C27" s="237" t="s">
        <v>75</v>
      </c>
      <c r="D27" s="237"/>
      <c r="E27" s="237"/>
      <c r="F27" s="237"/>
      <c r="G27" s="120" t="s">
        <v>77</v>
      </c>
      <c r="H27" s="127">
        <f>'Other Deduction'!B13</f>
        <v>0</v>
      </c>
      <c r="I27" s="123">
        <v>17</v>
      </c>
      <c r="J27" s="239" t="s">
        <v>84</v>
      </c>
      <c r="K27" s="240"/>
      <c r="L27" s="241"/>
      <c r="M27" s="120" t="s">
        <v>77</v>
      </c>
      <c r="N27" s="124">
        <f>'Other Deduction'!B18</f>
        <v>0</v>
      </c>
      <c r="O27" s="128"/>
      <c r="P27" s="130"/>
    </row>
    <row r="28" spans="1:16" s="10" customFormat="1" ht="27" customHeight="1">
      <c r="A28" s="193"/>
      <c r="B28" s="131">
        <v>9</v>
      </c>
      <c r="C28" s="226" t="s">
        <v>196</v>
      </c>
      <c r="D28" s="226"/>
      <c r="E28" s="226"/>
      <c r="F28" s="226"/>
      <c r="G28" s="132" t="s">
        <v>77</v>
      </c>
      <c r="H28" s="133">
        <f>Salary!U42+'Other Deduction'!B8</f>
        <v>0</v>
      </c>
      <c r="I28" s="131">
        <v>18</v>
      </c>
      <c r="J28" s="226"/>
      <c r="K28" s="226"/>
      <c r="L28" s="226"/>
      <c r="M28" s="132" t="s">
        <v>77</v>
      </c>
      <c r="N28" s="124"/>
      <c r="O28" s="128"/>
      <c r="P28" s="129"/>
    </row>
    <row r="29" spans="1:16" s="10" customFormat="1" ht="15" customHeight="1">
      <c r="A29" s="193"/>
      <c r="B29" s="276" t="s">
        <v>88</v>
      </c>
      <c r="C29" s="277"/>
      <c r="D29" s="277"/>
      <c r="E29" s="277"/>
      <c r="F29" s="277"/>
      <c r="G29" s="277"/>
      <c r="H29" s="277"/>
      <c r="I29" s="277"/>
      <c r="J29" s="277"/>
      <c r="K29" s="277"/>
      <c r="L29" s="278"/>
      <c r="M29" s="132" t="s">
        <v>77</v>
      </c>
      <c r="N29" s="134">
        <f>SUM(H20:H28)+SUM(N20:N28)</f>
        <v>90608</v>
      </c>
      <c r="O29" s="135"/>
      <c r="P29" s="136"/>
    </row>
    <row r="30" spans="1:16" s="10" customFormat="1" ht="16.5" customHeight="1">
      <c r="A30" s="193"/>
      <c r="B30" s="227" t="s">
        <v>87</v>
      </c>
      <c r="C30" s="227"/>
      <c r="D30" s="227"/>
      <c r="E30" s="227"/>
      <c r="F30" s="227"/>
      <c r="G30" s="227"/>
      <c r="H30" s="227"/>
      <c r="I30" s="227"/>
      <c r="J30" s="227"/>
      <c r="K30" s="227"/>
      <c r="L30" s="227"/>
      <c r="M30" s="227"/>
      <c r="N30" s="227"/>
      <c r="O30" s="132" t="s">
        <v>77</v>
      </c>
      <c r="P30" s="121">
        <f>IF(N29&lt;150001,ROUND(N29,0),150000)</f>
        <v>90608</v>
      </c>
    </row>
    <row r="31" spans="1:16" s="10" customFormat="1" ht="23.45" customHeight="1">
      <c r="A31" s="137"/>
      <c r="B31" s="283" t="s">
        <v>200</v>
      </c>
      <c r="C31" s="284"/>
      <c r="D31" s="284"/>
      <c r="E31" s="284"/>
      <c r="F31" s="284"/>
      <c r="G31" s="284"/>
      <c r="H31" s="284"/>
      <c r="I31" s="284"/>
      <c r="J31" s="284"/>
      <c r="K31" s="284"/>
      <c r="L31" s="284"/>
      <c r="M31" s="284"/>
      <c r="N31" s="285"/>
      <c r="O31" s="132" t="s">
        <v>77</v>
      </c>
      <c r="P31" s="121">
        <f>IF(Salary!E14="yes",Salary!P42,0)</f>
        <v>125385</v>
      </c>
    </row>
    <row r="32" spans="1:16" s="10" customFormat="1" ht="15" customHeight="1">
      <c r="A32" s="137"/>
      <c r="B32" s="280" t="s">
        <v>155</v>
      </c>
      <c r="C32" s="281"/>
      <c r="D32" s="281"/>
      <c r="E32" s="281"/>
      <c r="F32" s="281"/>
      <c r="G32" s="281"/>
      <c r="H32" s="281"/>
      <c r="I32" s="281"/>
      <c r="J32" s="281"/>
      <c r="K32" s="281"/>
      <c r="L32" s="281"/>
      <c r="M32" s="281"/>
      <c r="N32" s="282"/>
      <c r="O32" s="132" t="s">
        <v>77</v>
      </c>
      <c r="P32" s="121">
        <f>'Other Deduction'!E7</f>
        <v>0</v>
      </c>
    </row>
    <row r="33" spans="1:16" s="10" customFormat="1" ht="15" customHeight="1">
      <c r="A33" s="137"/>
      <c r="B33" s="286" t="s">
        <v>156</v>
      </c>
      <c r="C33" s="287"/>
      <c r="D33" s="287"/>
      <c r="E33" s="287"/>
      <c r="F33" s="287"/>
      <c r="G33" s="287"/>
      <c r="H33" s="287"/>
      <c r="I33" s="287"/>
      <c r="J33" s="287"/>
      <c r="K33" s="287"/>
      <c r="L33" s="287"/>
      <c r="M33" s="287"/>
      <c r="N33" s="288"/>
      <c r="O33" s="132"/>
      <c r="P33" s="121">
        <f>P30+P31+P32</f>
        <v>215993</v>
      </c>
    </row>
    <row r="34" spans="1:16" s="10" customFormat="1" ht="15" customHeight="1">
      <c r="A34" s="192">
        <v>12</v>
      </c>
      <c r="B34" s="231" t="s">
        <v>110</v>
      </c>
      <c r="C34" s="231"/>
      <c r="D34" s="231"/>
      <c r="E34" s="231"/>
      <c r="F34" s="231"/>
      <c r="G34" s="231"/>
      <c r="H34" s="231"/>
      <c r="I34" s="231"/>
      <c r="J34" s="231"/>
      <c r="K34" s="231"/>
      <c r="L34" s="231"/>
      <c r="M34" s="231"/>
      <c r="N34" s="231"/>
      <c r="O34" s="231"/>
      <c r="P34" s="232"/>
    </row>
    <row r="35" spans="1:16" s="10" customFormat="1" ht="27.75" customHeight="1">
      <c r="A35" s="193"/>
      <c r="B35" s="228" t="s">
        <v>111</v>
      </c>
      <c r="C35" s="229"/>
      <c r="D35" s="229"/>
      <c r="E35" s="229"/>
      <c r="F35" s="229"/>
      <c r="G35" s="229"/>
      <c r="H35" s="229"/>
      <c r="I35" s="229"/>
      <c r="J35" s="229"/>
      <c r="K35" s="229"/>
      <c r="L35" s="229"/>
      <c r="M35" s="229"/>
      <c r="N35" s="230"/>
      <c r="O35" s="132" t="s">
        <v>77</v>
      </c>
      <c r="P35" s="122">
        <f>'Other Deduction'!E8</f>
        <v>0</v>
      </c>
    </row>
    <row r="36" spans="1:16" s="10" customFormat="1" ht="17.25" customHeight="1">
      <c r="A36" s="193"/>
      <c r="B36" s="233" t="s">
        <v>177</v>
      </c>
      <c r="C36" s="233"/>
      <c r="D36" s="233"/>
      <c r="E36" s="233"/>
      <c r="F36" s="233"/>
      <c r="G36" s="233"/>
      <c r="H36" s="233"/>
      <c r="I36" s="233"/>
      <c r="J36" s="233"/>
      <c r="K36" s="233"/>
      <c r="L36" s="233"/>
      <c r="M36" s="233"/>
      <c r="N36" s="233"/>
      <c r="O36" s="132" t="s">
        <v>77</v>
      </c>
      <c r="P36" s="122">
        <f>'Other Deduction'!E9</f>
        <v>0</v>
      </c>
    </row>
    <row r="37" spans="1:16" s="10" customFormat="1" ht="18" customHeight="1">
      <c r="A37" s="193"/>
      <c r="B37" s="233" t="s">
        <v>176</v>
      </c>
      <c r="C37" s="233"/>
      <c r="D37" s="233"/>
      <c r="E37" s="233"/>
      <c r="F37" s="233"/>
      <c r="G37" s="233"/>
      <c r="H37" s="233"/>
      <c r="I37" s="233"/>
      <c r="J37" s="233"/>
      <c r="K37" s="233"/>
      <c r="L37" s="233"/>
      <c r="M37" s="233"/>
      <c r="N37" s="233"/>
      <c r="O37" s="132" t="s">
        <v>77</v>
      </c>
      <c r="P37" s="122">
        <f>'Other Deduction'!E10</f>
        <v>0</v>
      </c>
    </row>
    <row r="38" spans="1:16" s="10" customFormat="1" ht="16.5" customHeight="1">
      <c r="A38" s="193"/>
      <c r="B38" s="233" t="s">
        <v>175</v>
      </c>
      <c r="C38" s="233"/>
      <c r="D38" s="233"/>
      <c r="E38" s="233"/>
      <c r="F38" s="233"/>
      <c r="G38" s="233"/>
      <c r="H38" s="233"/>
      <c r="I38" s="233"/>
      <c r="J38" s="233"/>
      <c r="K38" s="233"/>
      <c r="L38" s="233"/>
      <c r="M38" s="233"/>
      <c r="N38" s="233"/>
      <c r="O38" s="132" t="s">
        <v>77</v>
      </c>
      <c r="P38" s="122">
        <f>'Other Deduction'!E11</f>
        <v>0</v>
      </c>
    </row>
    <row r="39" spans="1:16" s="10" customFormat="1" ht="16.5" customHeight="1">
      <c r="A39" s="193"/>
      <c r="B39" s="233" t="s">
        <v>174</v>
      </c>
      <c r="C39" s="233"/>
      <c r="D39" s="233"/>
      <c r="E39" s="233"/>
      <c r="F39" s="233"/>
      <c r="G39" s="233"/>
      <c r="H39" s="233"/>
      <c r="I39" s="233"/>
      <c r="J39" s="233"/>
      <c r="K39" s="233"/>
      <c r="L39" s="233"/>
      <c r="M39" s="233"/>
      <c r="N39" s="233"/>
      <c r="O39" s="132" t="s">
        <v>77</v>
      </c>
      <c r="P39" s="122">
        <f>'Other Deduction'!E12</f>
        <v>0</v>
      </c>
    </row>
    <row r="40" spans="1:16" s="10" customFormat="1" ht="15" customHeight="1">
      <c r="A40" s="193"/>
      <c r="B40" s="228" t="s">
        <v>173</v>
      </c>
      <c r="C40" s="229"/>
      <c r="D40" s="229"/>
      <c r="E40" s="229"/>
      <c r="F40" s="229"/>
      <c r="G40" s="229"/>
      <c r="H40" s="229"/>
      <c r="I40" s="229"/>
      <c r="J40" s="229"/>
      <c r="K40" s="229"/>
      <c r="L40" s="229"/>
      <c r="M40" s="229"/>
      <c r="N40" s="230"/>
      <c r="O40" s="132" t="s">
        <v>77</v>
      </c>
      <c r="P40" s="122">
        <f>'Other Deduction'!E13</f>
        <v>0</v>
      </c>
    </row>
    <row r="41" spans="1:16" s="10" customFormat="1" ht="17.25" customHeight="1">
      <c r="A41" s="193"/>
      <c r="B41" s="234" t="s">
        <v>172</v>
      </c>
      <c r="C41" s="235"/>
      <c r="D41" s="235"/>
      <c r="E41" s="235"/>
      <c r="F41" s="235"/>
      <c r="G41" s="235"/>
      <c r="H41" s="235"/>
      <c r="I41" s="235"/>
      <c r="J41" s="235"/>
      <c r="K41" s="235"/>
      <c r="L41" s="235"/>
      <c r="M41" s="235"/>
      <c r="N41" s="236"/>
      <c r="O41" s="132" t="s">
        <v>77</v>
      </c>
      <c r="P41" s="122">
        <f>IF(Salary!E14&lt;&gt;"Yes",IF('Other Deduction'!E3&lt;50001,'Other Deduction'!E3,50000),IF('Other Deduction'!E3&lt;10001,'Other Deduction'!E3,10000))</f>
        <v>0</v>
      </c>
    </row>
    <row r="42" spans="1:16" s="10" customFormat="1" ht="15.75" customHeight="1">
      <c r="A42" s="193"/>
      <c r="B42" s="234" t="s">
        <v>171</v>
      </c>
      <c r="C42" s="235"/>
      <c r="D42" s="235"/>
      <c r="E42" s="235"/>
      <c r="F42" s="235"/>
      <c r="G42" s="235"/>
      <c r="H42" s="235"/>
      <c r="I42" s="235"/>
      <c r="J42" s="235"/>
      <c r="K42" s="235"/>
      <c r="L42" s="235"/>
      <c r="M42" s="235"/>
      <c r="N42" s="236"/>
      <c r="O42" s="132" t="s">
        <v>77</v>
      </c>
      <c r="P42" s="122">
        <f>'Other Deduction'!E14</f>
        <v>0</v>
      </c>
    </row>
    <row r="43" spans="1:16" s="10" customFormat="1" ht="15" customHeight="1">
      <c r="A43" s="194"/>
      <c r="B43" s="227" t="s">
        <v>112</v>
      </c>
      <c r="C43" s="227"/>
      <c r="D43" s="227"/>
      <c r="E43" s="227"/>
      <c r="F43" s="227"/>
      <c r="G43" s="227"/>
      <c r="H43" s="227"/>
      <c r="I43" s="227"/>
      <c r="J43" s="227"/>
      <c r="K43" s="227"/>
      <c r="L43" s="227"/>
      <c r="M43" s="227"/>
      <c r="N43" s="227"/>
      <c r="O43" s="132" t="s">
        <v>77</v>
      </c>
      <c r="P43" s="138">
        <f>SUM(P35:P42)</f>
        <v>0</v>
      </c>
    </row>
    <row r="44" spans="1:16" s="10" customFormat="1" ht="15" customHeight="1">
      <c r="A44" s="119">
        <v>13</v>
      </c>
      <c r="B44" s="217" t="s">
        <v>113</v>
      </c>
      <c r="C44" s="217"/>
      <c r="D44" s="217"/>
      <c r="E44" s="217"/>
      <c r="F44" s="217"/>
      <c r="G44" s="217"/>
      <c r="H44" s="217"/>
      <c r="I44" s="217"/>
      <c r="J44" s="217"/>
      <c r="K44" s="217"/>
      <c r="L44" s="217"/>
      <c r="M44" s="217"/>
      <c r="N44" s="217"/>
      <c r="O44" s="132" t="s">
        <v>77</v>
      </c>
      <c r="P44" s="122">
        <f>P33+P43</f>
        <v>215993</v>
      </c>
    </row>
    <row r="45" spans="1:16" s="10" customFormat="1" ht="15" customHeight="1">
      <c r="A45" s="119">
        <v>14</v>
      </c>
      <c r="B45" s="195" t="s">
        <v>114</v>
      </c>
      <c r="C45" s="195"/>
      <c r="D45" s="195"/>
      <c r="E45" s="195"/>
      <c r="F45" s="195"/>
      <c r="G45" s="195"/>
      <c r="H45" s="195"/>
      <c r="I45" s="195"/>
      <c r="J45" s="195"/>
      <c r="K45" s="195"/>
      <c r="L45" s="195"/>
      <c r="M45" s="195"/>
      <c r="N45" s="195"/>
      <c r="O45" s="132" t="s">
        <v>77</v>
      </c>
      <c r="P45" s="122">
        <f>(P17-P44)</f>
        <v>770676</v>
      </c>
    </row>
    <row r="46" spans="1:16" s="10" customFormat="1">
      <c r="A46" s="119">
        <v>15</v>
      </c>
      <c r="B46" s="217" t="s">
        <v>115</v>
      </c>
      <c r="C46" s="217"/>
      <c r="D46" s="217"/>
      <c r="E46" s="217"/>
      <c r="F46" s="217"/>
      <c r="G46" s="217"/>
      <c r="H46" s="217"/>
      <c r="I46" s="217"/>
      <c r="J46" s="217"/>
      <c r="K46" s="217"/>
      <c r="L46" s="217"/>
      <c r="M46" s="217"/>
      <c r="N46" s="217"/>
      <c r="O46" s="132" t="s">
        <v>77</v>
      </c>
      <c r="P46" s="121">
        <f>ROUND(P45,-1)</f>
        <v>770680</v>
      </c>
    </row>
    <row r="47" spans="1:16" s="10" customFormat="1" ht="15" customHeight="1">
      <c r="A47" s="192">
        <v>16</v>
      </c>
      <c r="B47" s="195" t="s">
        <v>116</v>
      </c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95"/>
      <c r="O47" s="195"/>
      <c r="P47" s="196"/>
    </row>
    <row r="48" spans="1:16" s="10" customFormat="1" ht="15" customHeight="1">
      <c r="A48" s="193"/>
      <c r="B48" s="197" t="s">
        <v>118</v>
      </c>
      <c r="C48" s="197"/>
      <c r="D48" s="197"/>
      <c r="E48" s="197"/>
      <c r="F48" s="197"/>
      <c r="G48" s="197" t="s">
        <v>117</v>
      </c>
      <c r="H48" s="197"/>
      <c r="I48" s="197"/>
      <c r="J48" s="197"/>
      <c r="K48" s="198" t="s">
        <v>119</v>
      </c>
      <c r="L48" s="199"/>
      <c r="M48" s="199"/>
      <c r="N48" s="200"/>
      <c r="O48" s="139"/>
      <c r="P48" s="140"/>
    </row>
    <row r="49" spans="1:16" s="10" customFormat="1" ht="15" customHeight="1">
      <c r="A49" s="193"/>
      <c r="B49" s="201" t="s">
        <v>120</v>
      </c>
      <c r="C49" s="202"/>
      <c r="D49" s="203"/>
      <c r="E49" s="205" t="s">
        <v>18</v>
      </c>
      <c r="F49" s="205"/>
      <c r="G49" s="201" t="s">
        <v>122</v>
      </c>
      <c r="H49" s="202"/>
      <c r="I49" s="203"/>
      <c r="J49" s="141" t="s">
        <v>18</v>
      </c>
      <c r="K49" s="201" t="s">
        <v>122</v>
      </c>
      <c r="L49" s="202"/>
      <c r="M49" s="203"/>
      <c r="N49" s="141" t="s">
        <v>18</v>
      </c>
      <c r="O49" s="132" t="s">
        <v>77</v>
      </c>
      <c r="P49" s="142">
        <v>0</v>
      </c>
    </row>
    <row r="50" spans="1:16" s="10" customFormat="1" ht="15" customHeight="1">
      <c r="A50" s="193"/>
      <c r="B50" s="201" t="s">
        <v>19</v>
      </c>
      <c r="C50" s="202"/>
      <c r="D50" s="203"/>
      <c r="E50" s="204">
        <v>0.05</v>
      </c>
      <c r="F50" s="205"/>
      <c r="G50" s="205" t="s">
        <v>35</v>
      </c>
      <c r="H50" s="205"/>
      <c r="I50" s="205"/>
      <c r="J50" s="143">
        <v>0.05</v>
      </c>
      <c r="K50" s="201" t="s">
        <v>121</v>
      </c>
      <c r="L50" s="202"/>
      <c r="M50" s="203"/>
      <c r="N50" s="141" t="s">
        <v>18</v>
      </c>
      <c r="O50" s="132" t="s">
        <v>77</v>
      </c>
      <c r="P50" s="142">
        <f>ROUND(IF(Salary!AA14="No",IF(P46&lt;250001,0,IF(P46&gt;500000,12500,((P46-250000)*0.05))),IF(P46&lt;300001,0,IF(P46&gt;500000,10000,((P46-300000)*0.05)))),0)</f>
        <v>12500</v>
      </c>
    </row>
    <row r="51" spans="1:16" s="10" customFormat="1" ht="15" customHeight="1">
      <c r="A51" s="193"/>
      <c r="B51" s="201" t="s">
        <v>20</v>
      </c>
      <c r="C51" s="202"/>
      <c r="D51" s="203"/>
      <c r="E51" s="204">
        <v>0.2</v>
      </c>
      <c r="F51" s="205"/>
      <c r="G51" s="205" t="s">
        <v>20</v>
      </c>
      <c r="H51" s="205"/>
      <c r="I51" s="205"/>
      <c r="J51" s="143">
        <v>0.2</v>
      </c>
      <c r="K51" s="201" t="s">
        <v>20</v>
      </c>
      <c r="L51" s="202"/>
      <c r="M51" s="203"/>
      <c r="N51" s="143">
        <v>0.2</v>
      </c>
      <c r="O51" s="132" t="s">
        <v>77</v>
      </c>
      <c r="P51" s="142">
        <f>IF(P46&lt;500001,0,IF(P46&gt;1000000,100000,((P46-500000)*0.2)))</f>
        <v>54136</v>
      </c>
    </row>
    <row r="52" spans="1:16" s="10" customFormat="1" ht="15" customHeight="1">
      <c r="A52" s="193"/>
      <c r="B52" s="201" t="s">
        <v>123</v>
      </c>
      <c r="C52" s="202"/>
      <c r="D52" s="203"/>
      <c r="E52" s="204">
        <v>0.3</v>
      </c>
      <c r="F52" s="205"/>
      <c r="G52" s="205" t="s">
        <v>124</v>
      </c>
      <c r="H52" s="205"/>
      <c r="I52" s="205"/>
      <c r="J52" s="143">
        <v>0.3</v>
      </c>
      <c r="K52" s="201" t="s">
        <v>124</v>
      </c>
      <c r="L52" s="202"/>
      <c r="M52" s="203"/>
      <c r="N52" s="143">
        <v>0.3</v>
      </c>
      <c r="O52" s="132" t="s">
        <v>77</v>
      </c>
      <c r="P52" s="142">
        <f>IF(P46&lt;1000001,0,((P46-1000000)*0.3))</f>
        <v>0</v>
      </c>
    </row>
    <row r="53" spans="1:16" s="10" customFormat="1" ht="15" customHeight="1">
      <c r="A53" s="193"/>
      <c r="B53" s="185" t="s">
        <v>125</v>
      </c>
      <c r="C53" s="186"/>
      <c r="D53" s="186"/>
      <c r="E53" s="186"/>
      <c r="F53" s="186"/>
      <c r="G53" s="186"/>
      <c r="H53" s="186"/>
      <c r="I53" s="186"/>
      <c r="J53" s="186"/>
      <c r="K53" s="186"/>
      <c r="L53" s="186"/>
      <c r="M53" s="186"/>
      <c r="N53" s="187"/>
      <c r="O53" s="132" t="s">
        <v>77</v>
      </c>
      <c r="P53" s="121">
        <f>SUM(P49:P52)</f>
        <v>66636</v>
      </c>
    </row>
    <row r="54" spans="1:16" s="10" customFormat="1" ht="15" customHeight="1">
      <c r="A54" s="193"/>
      <c r="B54" s="185" t="s">
        <v>126</v>
      </c>
      <c r="C54" s="186"/>
      <c r="D54" s="186"/>
      <c r="E54" s="186"/>
      <c r="F54" s="186"/>
      <c r="G54" s="186"/>
      <c r="H54" s="186"/>
      <c r="I54" s="186"/>
      <c r="J54" s="186"/>
      <c r="K54" s="186"/>
      <c r="L54" s="186"/>
      <c r="M54" s="186"/>
      <c r="N54" s="187"/>
      <c r="O54" s="132" t="s">
        <v>77</v>
      </c>
      <c r="P54" s="122">
        <f>IF(P46&gt;500000,0,IF(P53&lt;12501,P53,12500))</f>
        <v>0</v>
      </c>
    </row>
    <row r="55" spans="1:16" s="10" customFormat="1" ht="15" customHeight="1">
      <c r="A55" s="193"/>
      <c r="B55" s="185" t="s">
        <v>127</v>
      </c>
      <c r="C55" s="186"/>
      <c r="D55" s="186"/>
      <c r="E55" s="186"/>
      <c r="F55" s="186"/>
      <c r="G55" s="186"/>
      <c r="H55" s="186"/>
      <c r="I55" s="186"/>
      <c r="J55" s="186"/>
      <c r="K55" s="186"/>
      <c r="L55" s="186"/>
      <c r="M55" s="186"/>
      <c r="N55" s="187"/>
      <c r="O55" s="132" t="s">
        <v>77</v>
      </c>
      <c r="P55" s="121">
        <f>P53-P54</f>
        <v>66636</v>
      </c>
    </row>
    <row r="56" spans="1:16" s="10" customFormat="1" ht="15" customHeight="1">
      <c r="A56" s="193"/>
      <c r="B56" s="188" t="s">
        <v>128</v>
      </c>
      <c r="C56" s="188"/>
      <c r="D56" s="188"/>
      <c r="E56" s="188"/>
      <c r="F56" s="188"/>
      <c r="G56" s="188"/>
      <c r="H56" s="188"/>
      <c r="I56" s="188"/>
      <c r="J56" s="188"/>
      <c r="K56" s="188"/>
      <c r="L56" s="188"/>
      <c r="M56" s="188"/>
      <c r="N56" s="188"/>
      <c r="O56" s="132" t="s">
        <v>77</v>
      </c>
      <c r="P56" s="122">
        <f>ROUND(P55*0.04,0)</f>
        <v>2665</v>
      </c>
    </row>
    <row r="57" spans="1:16" s="10" customFormat="1" ht="15" customHeight="1">
      <c r="A57" s="194"/>
      <c r="B57" s="189" t="s">
        <v>129</v>
      </c>
      <c r="C57" s="190"/>
      <c r="D57" s="190"/>
      <c r="E57" s="190"/>
      <c r="F57" s="190"/>
      <c r="G57" s="190"/>
      <c r="H57" s="190"/>
      <c r="I57" s="190"/>
      <c r="J57" s="190"/>
      <c r="K57" s="190"/>
      <c r="L57" s="190"/>
      <c r="M57" s="190"/>
      <c r="N57" s="191"/>
      <c r="O57" s="132" t="s">
        <v>77</v>
      </c>
      <c r="P57" s="121">
        <f>SUM(P55:P56)</f>
        <v>69301</v>
      </c>
    </row>
    <row r="58" spans="1:16" s="10" customFormat="1" ht="15" customHeight="1">
      <c r="A58" s="119">
        <v>17</v>
      </c>
      <c r="B58" s="214" t="s">
        <v>130</v>
      </c>
      <c r="C58" s="215"/>
      <c r="D58" s="215"/>
      <c r="E58" s="215"/>
      <c r="F58" s="215"/>
      <c r="G58" s="215"/>
      <c r="H58" s="215"/>
      <c r="I58" s="215"/>
      <c r="J58" s="215"/>
      <c r="K58" s="215"/>
      <c r="L58" s="215"/>
      <c r="M58" s="215"/>
      <c r="N58" s="216"/>
      <c r="O58" s="132" t="s">
        <v>77</v>
      </c>
      <c r="P58" s="122">
        <f>'Other Deduction'!E17</f>
        <v>0</v>
      </c>
    </row>
    <row r="59" spans="1:16" s="10" customFormat="1" ht="15" customHeight="1">
      <c r="A59" s="119">
        <v>18</v>
      </c>
      <c r="B59" s="217" t="s">
        <v>131</v>
      </c>
      <c r="C59" s="217"/>
      <c r="D59" s="217"/>
      <c r="E59" s="217"/>
      <c r="F59" s="217"/>
      <c r="G59" s="217"/>
      <c r="H59" s="217"/>
      <c r="I59" s="217"/>
      <c r="J59" s="217"/>
      <c r="K59" s="217"/>
      <c r="L59" s="217"/>
      <c r="M59" s="217"/>
      <c r="N59" s="217"/>
      <c r="O59" s="132" t="s">
        <v>77</v>
      </c>
      <c r="P59" s="121">
        <f>P57-P58</f>
        <v>69301</v>
      </c>
    </row>
    <row r="60" spans="1:16" ht="46.5" customHeight="1">
      <c r="A60" s="192">
        <v>19</v>
      </c>
      <c r="B60" s="220" t="s">
        <v>132</v>
      </c>
      <c r="C60" s="221"/>
      <c r="D60" s="222"/>
      <c r="E60" s="218" t="s">
        <v>226</v>
      </c>
      <c r="F60" s="218"/>
      <c r="G60" s="218"/>
      <c r="H60" s="218"/>
      <c r="I60" s="207" t="s">
        <v>223</v>
      </c>
      <c r="J60" s="219"/>
      <c r="K60" s="144" t="s">
        <v>224</v>
      </c>
      <c r="L60" s="207" t="s">
        <v>225</v>
      </c>
      <c r="M60" s="219"/>
      <c r="N60" s="144" t="s">
        <v>133</v>
      </c>
      <c r="O60" s="207" t="s">
        <v>134</v>
      </c>
      <c r="P60" s="208"/>
    </row>
    <row r="61" spans="1:16">
      <c r="A61" s="194"/>
      <c r="B61" s="223"/>
      <c r="C61" s="224"/>
      <c r="D61" s="225"/>
      <c r="E61" s="209">
        <f>SUM(Salary!W23:W29)</f>
        <v>7000</v>
      </c>
      <c r="F61" s="209"/>
      <c r="G61" s="209"/>
      <c r="H61" s="209"/>
      <c r="I61" s="209">
        <f>SUM(Salary!W30:W32)</f>
        <v>3000</v>
      </c>
      <c r="J61" s="209"/>
      <c r="K61" s="145">
        <f>Salary!W33</f>
        <v>1000</v>
      </c>
      <c r="L61" s="209">
        <f>Salary!W34</f>
        <v>1000</v>
      </c>
      <c r="M61" s="209"/>
      <c r="N61" s="146">
        <f>SUM(Salary!W35:W41)+'Other Deduction'!E18</f>
        <v>0</v>
      </c>
      <c r="O61" s="210">
        <f>E61+I61+K61+L61+N61</f>
        <v>12000</v>
      </c>
      <c r="P61" s="211"/>
    </row>
    <row r="62" spans="1:16" ht="16.5" thickBot="1">
      <c r="A62" s="212" t="str">
        <f>IF(P59&gt;O61,"Income Tax Payable",IF(P59&lt;O61,"Income Tax Refundable","Income Tax Payble/Refundable"))</f>
        <v>Income Tax Payable</v>
      </c>
      <c r="B62" s="213"/>
      <c r="C62" s="213"/>
      <c r="D62" s="213"/>
      <c r="E62" s="213"/>
      <c r="F62" s="213"/>
      <c r="G62" s="213"/>
      <c r="H62" s="213"/>
      <c r="I62" s="213"/>
      <c r="J62" s="213"/>
      <c r="K62" s="213"/>
      <c r="L62" s="213"/>
      <c r="M62" s="213"/>
      <c r="N62" s="213"/>
      <c r="O62" s="132" t="s">
        <v>77</v>
      </c>
      <c r="P62" s="147">
        <f>IF(P59&gt;O61,P59-O61,O61-P59)</f>
        <v>57301</v>
      </c>
    </row>
    <row r="63" spans="1:16">
      <c r="A63" s="45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6"/>
      <c r="P63" s="16"/>
    </row>
    <row r="64" spans="1:16">
      <c r="A64" s="47"/>
      <c r="B64" s="279" t="s">
        <v>135</v>
      </c>
      <c r="C64" s="279"/>
      <c r="D64" s="279"/>
      <c r="E64" s="279"/>
      <c r="F64" s="48"/>
      <c r="G64" s="48"/>
      <c r="H64" s="48"/>
      <c r="I64" s="48"/>
      <c r="J64" s="48"/>
      <c r="K64" s="48"/>
      <c r="L64" s="279" t="s">
        <v>23</v>
      </c>
      <c r="M64" s="279"/>
      <c r="N64" s="279"/>
      <c r="O64" s="279"/>
      <c r="P64" s="49"/>
    </row>
    <row r="65" spans="1:17">
      <c r="A65" s="279"/>
      <c r="B65" s="279"/>
      <c r="C65" s="279"/>
      <c r="D65" s="279"/>
      <c r="E65" s="48"/>
      <c r="F65" s="48"/>
      <c r="G65" s="48"/>
      <c r="H65" s="48"/>
      <c r="I65" s="48"/>
      <c r="J65" s="48"/>
      <c r="K65" s="48"/>
      <c r="L65" s="48"/>
      <c r="M65" s="279"/>
      <c r="N65" s="279"/>
      <c r="O65" s="279"/>
      <c r="P65" s="279"/>
    </row>
    <row r="66" spans="1:17" ht="15.75" hidden="1" customHeight="1">
      <c r="A66" s="47"/>
      <c r="B66" s="206"/>
      <c r="C66" s="206"/>
      <c r="D66" s="206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</row>
    <row r="67" spans="1:17" ht="15.75" hidden="1" customHeight="1">
      <c r="A67" s="47"/>
      <c r="B67" s="206"/>
      <c r="C67" s="206"/>
      <c r="D67" s="206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</row>
    <row r="68" spans="1:17" ht="24" hidden="1" customHeight="1">
      <c r="A68" s="47"/>
      <c r="B68" s="206"/>
      <c r="C68" s="206"/>
      <c r="D68" s="206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</row>
    <row r="69" spans="1:17" ht="15.75" hidden="1" customHeight="1">
      <c r="A69" s="47"/>
      <c r="B69" s="48"/>
      <c r="C69" s="48"/>
      <c r="D69" s="48"/>
      <c r="E69" s="48"/>
      <c r="F69" s="48"/>
      <c r="G69" s="48"/>
      <c r="H69" s="48"/>
      <c r="I69" s="48"/>
      <c r="J69" s="48"/>
      <c r="K69" s="184"/>
      <c r="L69" s="184"/>
      <c r="M69" s="184"/>
      <c r="N69" s="184"/>
      <c r="O69" s="184"/>
      <c r="P69" s="184"/>
    </row>
    <row r="70" spans="1:17" ht="15.75" hidden="1" customHeight="1">
      <c r="A70" s="47"/>
      <c r="B70" s="48"/>
      <c r="C70" s="48"/>
      <c r="D70" s="48"/>
      <c r="E70" s="48"/>
      <c r="F70" s="48"/>
      <c r="G70" s="48"/>
      <c r="H70" s="48"/>
      <c r="I70" s="48"/>
      <c r="J70" s="48"/>
      <c r="K70" s="184"/>
      <c r="L70" s="184"/>
      <c r="M70" s="184"/>
      <c r="N70" s="184"/>
      <c r="O70" s="184"/>
      <c r="P70" s="184"/>
    </row>
    <row r="71" spans="1:17" ht="15.75" hidden="1" customHeight="1">
      <c r="A71" s="47"/>
      <c r="B71" s="48"/>
      <c r="C71" s="48"/>
      <c r="D71" s="48"/>
      <c r="E71" s="48"/>
      <c r="F71" s="48"/>
      <c r="G71" s="48"/>
      <c r="H71" s="48"/>
      <c r="I71" s="48"/>
      <c r="J71" s="48"/>
      <c r="K71" s="184"/>
      <c r="L71" s="184"/>
      <c r="M71" s="184"/>
      <c r="N71" s="184"/>
      <c r="O71" s="184"/>
      <c r="P71" s="184"/>
    </row>
    <row r="72" spans="1:17" ht="15.75" hidden="1" customHeight="1">
      <c r="A72" s="47"/>
      <c r="B72" s="48"/>
      <c r="C72" s="48"/>
      <c r="D72" s="48"/>
      <c r="E72" s="48"/>
      <c r="F72" s="48"/>
      <c r="G72" s="48"/>
      <c r="H72" s="48"/>
      <c r="I72" s="48"/>
      <c r="J72" s="48"/>
      <c r="K72" s="184"/>
      <c r="L72" s="184"/>
      <c r="M72" s="184"/>
      <c r="N72" s="184"/>
      <c r="O72" s="184"/>
      <c r="P72" s="184"/>
    </row>
    <row r="73" spans="1:17" ht="15.75" hidden="1" customHeight="1">
      <c r="A73" s="47"/>
      <c r="B73" s="48"/>
      <c r="C73" s="48"/>
      <c r="D73" s="48"/>
      <c r="E73" s="48"/>
      <c r="F73" s="48"/>
      <c r="G73" s="48"/>
      <c r="H73" s="48"/>
      <c r="I73" s="48"/>
      <c r="J73" s="48"/>
      <c r="K73" s="184"/>
      <c r="L73" s="184"/>
      <c r="M73" s="184"/>
      <c r="N73" s="184"/>
      <c r="O73" s="184"/>
      <c r="P73" s="184"/>
    </row>
    <row r="74" spans="1:17" hidden="1">
      <c r="A74" s="47"/>
      <c r="B74" s="48"/>
      <c r="C74" s="263"/>
      <c r="D74" s="263"/>
      <c r="E74" s="263"/>
      <c r="F74" s="263"/>
      <c r="G74" s="263"/>
      <c r="H74" s="263"/>
      <c r="I74" s="263"/>
      <c r="J74" s="48"/>
      <c r="K74" s="184"/>
      <c r="L74" s="184"/>
      <c r="M74" s="184"/>
      <c r="N74" s="184"/>
      <c r="O74" s="184"/>
      <c r="P74" s="184"/>
    </row>
    <row r="75" spans="1:17" hidden="1">
      <c r="A75" s="47"/>
      <c r="B75" s="48"/>
      <c r="C75" s="48"/>
      <c r="D75" s="48"/>
      <c r="E75" s="48"/>
      <c r="F75" s="48"/>
      <c r="G75" s="48"/>
      <c r="H75" s="48"/>
      <c r="I75" s="48"/>
      <c r="J75" s="48"/>
      <c r="K75" s="184"/>
      <c r="L75" s="184"/>
      <c r="M75" s="184"/>
      <c r="N75" s="184"/>
      <c r="O75" s="184"/>
      <c r="P75" s="184"/>
    </row>
    <row r="76" spans="1:17" hidden="1">
      <c r="A76" s="50"/>
      <c r="B76" s="51"/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2"/>
      <c r="P76" s="53"/>
      <c r="Q76" s="30"/>
    </row>
    <row r="77" spans="1:17" hidden="1">
      <c r="A77" s="50"/>
      <c r="B77" s="51"/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2"/>
      <c r="P77" s="53"/>
      <c r="Q77" s="30"/>
    </row>
    <row r="78" spans="1:17" hidden="1">
      <c r="A78" s="50"/>
      <c r="B78" s="51"/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2"/>
      <c r="P78" s="53"/>
      <c r="Q78" s="30"/>
    </row>
    <row r="79" spans="1:17" hidden="1">
      <c r="A79" s="47"/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54"/>
      <c r="P79" s="49"/>
    </row>
    <row r="80" spans="1:17" hidden="1">
      <c r="A80" s="47"/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54"/>
      <c r="P80" s="49"/>
    </row>
    <row r="81" spans="1:16" hidden="1">
      <c r="A81" s="47"/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54"/>
      <c r="P81" s="49"/>
    </row>
  </sheetData>
  <sheetProtection password="9090" sheet="1" objects="1" scenarios="1"/>
  <customSheetViews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2">
    <mergeCell ref="M65:P65"/>
    <mergeCell ref="B32:N32"/>
    <mergeCell ref="B31:N31"/>
    <mergeCell ref="B33:N33"/>
    <mergeCell ref="B64:E64"/>
    <mergeCell ref="L64:O64"/>
    <mergeCell ref="J26:L26"/>
    <mergeCell ref="A11:A13"/>
    <mergeCell ref="B11:I11"/>
    <mergeCell ref="J11:K11"/>
    <mergeCell ref="D13:F13"/>
    <mergeCell ref="D12:F12"/>
    <mergeCell ref="B12:C13"/>
    <mergeCell ref="A18:A30"/>
    <mergeCell ref="A65:D65"/>
    <mergeCell ref="C24:F24"/>
    <mergeCell ref="C25:F25"/>
    <mergeCell ref="J25:L25"/>
    <mergeCell ref="B45:N45"/>
    <mergeCell ref="J21:L21"/>
    <mergeCell ref="J24:L24"/>
    <mergeCell ref="B46:N46"/>
    <mergeCell ref="E49:F49"/>
    <mergeCell ref="G49:I49"/>
    <mergeCell ref="C74:I74"/>
    <mergeCell ref="L11:N11"/>
    <mergeCell ref="O11:P13"/>
    <mergeCell ref="G12:I12"/>
    <mergeCell ref="J12:K12"/>
    <mergeCell ref="B14:N14"/>
    <mergeCell ref="B15:N15"/>
    <mergeCell ref="B16:N16"/>
    <mergeCell ref="B17:N17"/>
    <mergeCell ref="C26:F26"/>
    <mergeCell ref="L12:N12"/>
    <mergeCell ref="G13:I13"/>
    <mergeCell ref="J13:K13"/>
    <mergeCell ref="L13:N13"/>
    <mergeCell ref="C27:F27"/>
    <mergeCell ref="J27:L27"/>
    <mergeCell ref="B44:N44"/>
    <mergeCell ref="E50:F50"/>
    <mergeCell ref="B18:P18"/>
    <mergeCell ref="B19:P19"/>
    <mergeCell ref="C20:F20"/>
    <mergeCell ref="C21:F21"/>
    <mergeCell ref="B29:L29"/>
    <mergeCell ref="J28:L28"/>
    <mergeCell ref="A1:P1"/>
    <mergeCell ref="A2:P2"/>
    <mergeCell ref="B3:C3"/>
    <mergeCell ref="O3:P3"/>
    <mergeCell ref="B4:N4"/>
    <mergeCell ref="B5:N5"/>
    <mergeCell ref="B6:N6"/>
    <mergeCell ref="B10:N10"/>
    <mergeCell ref="B7:K7"/>
    <mergeCell ref="L7:N7"/>
    <mergeCell ref="B9:K9"/>
    <mergeCell ref="L9:N9"/>
    <mergeCell ref="D3:I3"/>
    <mergeCell ref="K3:M3"/>
    <mergeCell ref="A7:A9"/>
    <mergeCell ref="L8:N8"/>
    <mergeCell ref="B8:K8"/>
    <mergeCell ref="O7:P8"/>
    <mergeCell ref="K49:M49"/>
    <mergeCell ref="C28:F28"/>
    <mergeCell ref="B30:N30"/>
    <mergeCell ref="J20:L20"/>
    <mergeCell ref="A34:A43"/>
    <mergeCell ref="B34:P34"/>
    <mergeCell ref="B35:N35"/>
    <mergeCell ref="B36:N36"/>
    <mergeCell ref="B37:N37"/>
    <mergeCell ref="B38:N38"/>
    <mergeCell ref="B39:N39"/>
    <mergeCell ref="B40:N40"/>
    <mergeCell ref="B43:N43"/>
    <mergeCell ref="B41:N41"/>
    <mergeCell ref="B42:N42"/>
    <mergeCell ref="C22:F22"/>
    <mergeCell ref="J22:L22"/>
    <mergeCell ref="C23:F23"/>
    <mergeCell ref="J23:L23"/>
    <mergeCell ref="E52:F52"/>
    <mergeCell ref="G52:I52"/>
    <mergeCell ref="K52:M52"/>
    <mergeCell ref="L61:M61"/>
    <mergeCell ref="O61:P61"/>
    <mergeCell ref="A62:N62"/>
    <mergeCell ref="B58:N58"/>
    <mergeCell ref="B59:N59"/>
    <mergeCell ref="E60:H60"/>
    <mergeCell ref="I60:J60"/>
    <mergeCell ref="L60:M60"/>
    <mergeCell ref="B60:D61"/>
    <mergeCell ref="A60:A61"/>
    <mergeCell ref="K69:P75"/>
    <mergeCell ref="B53:N53"/>
    <mergeCell ref="B56:N56"/>
    <mergeCell ref="B57:N57"/>
    <mergeCell ref="A47:A57"/>
    <mergeCell ref="B47:P47"/>
    <mergeCell ref="B48:F48"/>
    <mergeCell ref="G48:J48"/>
    <mergeCell ref="K48:N48"/>
    <mergeCell ref="B51:D51"/>
    <mergeCell ref="B52:D52"/>
    <mergeCell ref="B49:D49"/>
    <mergeCell ref="B50:D50"/>
    <mergeCell ref="E51:F51"/>
    <mergeCell ref="G51:I51"/>
    <mergeCell ref="K51:M51"/>
    <mergeCell ref="G50:I50"/>
    <mergeCell ref="K50:M50"/>
    <mergeCell ref="B54:N54"/>
    <mergeCell ref="B55:N55"/>
    <mergeCell ref="B66:P68"/>
    <mergeCell ref="O60:P60"/>
    <mergeCell ref="E61:H61"/>
    <mergeCell ref="I61:J61"/>
  </mergeCells>
  <printOptions horizontalCentered="1"/>
  <pageMargins left="0.39370078740157499" right="0.23622047244094499" top="0.23622047244094499" bottom="0.27559055118110198" header="0.196850393700787" footer="0.23622047244094499"/>
  <pageSetup paperSize="9" scale="75" orientation="portrait" verticalDpi="300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00000"/>
  </sheetPr>
  <dimension ref="A1:X87"/>
  <sheetViews>
    <sheetView showGridLines="0" workbookViewId="0">
      <selection activeCell="P58" sqref="P58"/>
    </sheetView>
  </sheetViews>
  <sheetFormatPr defaultColWidth="9.140625" defaultRowHeight="0" customHeight="1" zeroHeight="1"/>
  <cols>
    <col min="1" max="1" width="4.5703125" style="7" customWidth="1" collapsed="1"/>
    <col min="2" max="2" width="4.5703125" style="6" customWidth="1" collapsed="1"/>
    <col min="3" max="4" width="9.140625" style="6" customWidth="1" collapsed="1"/>
    <col min="5" max="5" width="3.85546875" style="6" customWidth="1" collapsed="1"/>
    <col min="6" max="6" width="5.42578125" style="6" customWidth="1" collapsed="1"/>
    <col min="7" max="7" width="4.5703125" style="6" customWidth="1" collapsed="1"/>
    <col min="8" max="8" width="11.85546875" style="6" customWidth="1" collapsed="1"/>
    <col min="9" max="9" width="5.140625" style="6" customWidth="1" collapsed="1"/>
    <col min="10" max="10" width="11.7109375" style="6" customWidth="1" collapsed="1"/>
    <col min="11" max="11" width="11.42578125" style="6" customWidth="1" collapsed="1"/>
    <col min="12" max="12" width="9.42578125" style="6" customWidth="1" collapsed="1"/>
    <col min="13" max="13" width="4.5703125" style="6" customWidth="1" collapsed="1"/>
    <col min="14" max="14" width="12.7109375" style="6" customWidth="1" collapsed="1"/>
    <col min="15" max="15" width="3.85546875" style="8" customWidth="1" collapsed="1"/>
    <col min="16" max="16" width="19.28515625" style="9" customWidth="1" collapsed="1"/>
    <col min="17" max="17" width="2.42578125" customWidth="1" collapsed="1"/>
    <col min="18" max="20" width="9.140625" customWidth="1"/>
    <col min="21" max="21" width="9.140625" collapsed="1"/>
    <col min="25" max="16384" width="9.140625" collapsed="1"/>
  </cols>
  <sheetData>
    <row r="1" spans="1:16" s="10" customFormat="1" ht="18.75">
      <c r="A1" s="242" t="str">
        <f>Salary!C15</f>
        <v>JHS BAKAURA</v>
      </c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  <c r="M1" s="242"/>
      <c r="N1" s="242"/>
      <c r="O1" s="242"/>
      <c r="P1" s="242"/>
    </row>
    <row r="2" spans="1:16" s="10" customFormat="1" ht="21.75" thickBot="1">
      <c r="A2" s="243" t="s">
        <v>214</v>
      </c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</row>
    <row r="3" spans="1:16" s="10" customFormat="1" ht="15" customHeight="1">
      <c r="A3" s="116">
        <v>1</v>
      </c>
      <c r="B3" s="244" t="s">
        <v>89</v>
      </c>
      <c r="C3" s="245"/>
      <c r="D3" s="257" t="str">
        <f>Salary!M17</f>
        <v>Parmanand Meghwal</v>
      </c>
      <c r="E3" s="257"/>
      <c r="F3" s="257"/>
      <c r="G3" s="257"/>
      <c r="H3" s="257"/>
      <c r="I3" s="257"/>
      <c r="J3" s="117" t="s">
        <v>48</v>
      </c>
      <c r="K3" s="258" t="str">
        <f>Salary!M19</f>
        <v>TEACHER</v>
      </c>
      <c r="L3" s="258"/>
      <c r="M3" s="258"/>
      <c r="N3" s="118" t="s">
        <v>17</v>
      </c>
      <c r="O3" s="246" t="str">
        <f>Salary!E19</f>
        <v>xxxxxx</v>
      </c>
      <c r="P3" s="247"/>
    </row>
    <row r="4" spans="1:16" s="10" customFormat="1" ht="15" customHeight="1">
      <c r="A4" s="119">
        <v>2</v>
      </c>
      <c r="B4" s="248" t="s">
        <v>197</v>
      </c>
      <c r="C4" s="248"/>
      <c r="D4" s="195"/>
      <c r="E4" s="195"/>
      <c r="F4" s="195"/>
      <c r="G4" s="195"/>
      <c r="H4" s="195"/>
      <c r="I4" s="195"/>
      <c r="J4" s="248"/>
      <c r="K4" s="195"/>
      <c r="L4" s="195"/>
      <c r="M4" s="195"/>
      <c r="N4" s="248"/>
      <c r="O4" s="120" t="s">
        <v>77</v>
      </c>
      <c r="P4" s="121">
        <f>IF(Salary!E14="No",Salary!N42,(Salary!N42+Salary!P42))</f>
        <v>1036669</v>
      </c>
    </row>
    <row r="5" spans="1:16" s="10" customFormat="1" ht="15" customHeight="1">
      <c r="A5" s="119">
        <v>3</v>
      </c>
      <c r="B5" s="249" t="s">
        <v>94</v>
      </c>
      <c r="C5" s="249"/>
      <c r="D5" s="249"/>
      <c r="E5" s="249"/>
      <c r="F5" s="249"/>
      <c r="G5" s="249"/>
      <c r="H5" s="249"/>
      <c r="I5" s="249"/>
      <c r="J5" s="249"/>
      <c r="K5" s="249"/>
      <c r="L5" s="249"/>
      <c r="M5" s="249"/>
      <c r="N5" s="249"/>
      <c r="O5" s="120" t="s">
        <v>77</v>
      </c>
      <c r="P5" s="122"/>
    </row>
    <row r="6" spans="1:16" s="10" customFormat="1" ht="15" customHeight="1">
      <c r="A6" s="119">
        <v>4</v>
      </c>
      <c r="B6" s="227" t="s">
        <v>199</v>
      </c>
      <c r="C6" s="227"/>
      <c r="D6" s="227"/>
      <c r="E6" s="227"/>
      <c r="F6" s="227"/>
      <c r="G6" s="227"/>
      <c r="H6" s="227"/>
      <c r="I6" s="227"/>
      <c r="J6" s="227"/>
      <c r="K6" s="227"/>
      <c r="L6" s="227"/>
      <c r="M6" s="227"/>
      <c r="N6" s="227"/>
      <c r="O6" s="120" t="s">
        <v>77</v>
      </c>
      <c r="P6" s="122">
        <f>P4-P5</f>
        <v>1036669</v>
      </c>
    </row>
    <row r="7" spans="1:16" s="10" customFormat="1" ht="15" customHeight="1">
      <c r="A7" s="192">
        <v>5</v>
      </c>
      <c r="B7" s="253" t="s">
        <v>101</v>
      </c>
      <c r="C7" s="254"/>
      <c r="D7" s="254"/>
      <c r="E7" s="254"/>
      <c r="F7" s="254"/>
      <c r="G7" s="254"/>
      <c r="H7" s="254"/>
      <c r="I7" s="254"/>
      <c r="J7" s="254"/>
      <c r="K7" s="254"/>
      <c r="L7" s="255">
        <f>'Other Deduction'!B4</f>
        <v>0</v>
      </c>
      <c r="M7" s="255"/>
      <c r="N7" s="255"/>
      <c r="O7" s="259"/>
      <c r="P7" s="260"/>
    </row>
    <row r="8" spans="1:16" s="10" customFormat="1" ht="15" customHeight="1">
      <c r="A8" s="193"/>
      <c r="B8" s="214" t="s">
        <v>102</v>
      </c>
      <c r="C8" s="215"/>
      <c r="D8" s="215"/>
      <c r="E8" s="215"/>
      <c r="F8" s="215"/>
      <c r="G8" s="215"/>
      <c r="H8" s="215"/>
      <c r="I8" s="215"/>
      <c r="J8" s="215"/>
      <c r="K8" s="215"/>
      <c r="L8" s="255">
        <f>'Other Deduction'!B5</f>
        <v>0</v>
      </c>
      <c r="M8" s="255"/>
      <c r="N8" s="255"/>
      <c r="O8" s="261"/>
      <c r="P8" s="262"/>
    </row>
    <row r="9" spans="1:16" s="10" customFormat="1" ht="15" customHeight="1">
      <c r="A9" s="194"/>
      <c r="B9" s="256" t="s">
        <v>210</v>
      </c>
      <c r="C9" s="254"/>
      <c r="D9" s="254"/>
      <c r="E9" s="254"/>
      <c r="F9" s="254"/>
      <c r="G9" s="254"/>
      <c r="H9" s="254"/>
      <c r="I9" s="254"/>
      <c r="J9" s="254"/>
      <c r="K9" s="254"/>
      <c r="L9" s="255">
        <v>75000</v>
      </c>
      <c r="M9" s="255"/>
      <c r="N9" s="255"/>
      <c r="O9" s="120" t="s">
        <v>77</v>
      </c>
      <c r="P9" s="122">
        <f>SUM(L7:N9)</f>
        <v>75000</v>
      </c>
    </row>
    <row r="10" spans="1:16" s="10" customFormat="1" ht="15" customHeight="1">
      <c r="A10" s="119">
        <v>6</v>
      </c>
      <c r="B10" s="250" t="s">
        <v>95</v>
      </c>
      <c r="C10" s="251"/>
      <c r="D10" s="251"/>
      <c r="E10" s="251"/>
      <c r="F10" s="251"/>
      <c r="G10" s="251"/>
      <c r="H10" s="251"/>
      <c r="I10" s="251"/>
      <c r="J10" s="251"/>
      <c r="K10" s="251"/>
      <c r="L10" s="251"/>
      <c r="M10" s="251"/>
      <c r="N10" s="252"/>
      <c r="O10" s="120" t="s">
        <v>77</v>
      </c>
      <c r="P10" s="122">
        <f>P6-P9-L8</f>
        <v>961669</v>
      </c>
    </row>
    <row r="11" spans="1:16" s="10" customFormat="1" ht="15" customHeight="1">
      <c r="A11" s="289">
        <v>7</v>
      </c>
      <c r="B11" s="195" t="s">
        <v>96</v>
      </c>
      <c r="C11" s="195"/>
      <c r="D11" s="195"/>
      <c r="E11" s="195"/>
      <c r="F11" s="195"/>
      <c r="G11" s="195"/>
      <c r="H11" s="195"/>
      <c r="I11" s="195"/>
      <c r="J11" s="269" t="s">
        <v>97</v>
      </c>
      <c r="K11" s="269"/>
      <c r="L11" s="255">
        <f>'Other Deduction'!B6</f>
        <v>0</v>
      </c>
      <c r="M11" s="255"/>
      <c r="N11" s="255"/>
      <c r="O11" s="264"/>
      <c r="P11" s="265"/>
    </row>
    <row r="12" spans="1:16" s="10" customFormat="1" ht="27.75" customHeight="1">
      <c r="A12" s="289"/>
      <c r="B12" s="293" t="s">
        <v>99</v>
      </c>
      <c r="C12" s="294"/>
      <c r="D12" s="290" t="s">
        <v>98</v>
      </c>
      <c r="E12" s="291"/>
      <c r="F12" s="292"/>
      <c r="G12" s="266" t="s">
        <v>100</v>
      </c>
      <c r="H12" s="267"/>
      <c r="I12" s="268"/>
      <c r="J12" s="269" t="s">
        <v>104</v>
      </c>
      <c r="K12" s="269"/>
      <c r="L12" s="269" t="s">
        <v>47</v>
      </c>
      <c r="M12" s="269"/>
      <c r="N12" s="269"/>
      <c r="O12" s="264"/>
      <c r="P12" s="265"/>
    </row>
    <row r="13" spans="1:16" s="10" customFormat="1" ht="15" customHeight="1">
      <c r="A13" s="289"/>
      <c r="B13" s="295"/>
      <c r="C13" s="296"/>
      <c r="D13" s="272">
        <f>ROUND(L11*0.3,0)</f>
        <v>0</v>
      </c>
      <c r="E13" s="273"/>
      <c r="F13" s="274"/>
      <c r="G13" s="272">
        <f>IF((Salary!V42+'Other Deduction'!B9)&gt;200000,200000,(Salary!V42+'Other Deduction'!B9))</f>
        <v>0</v>
      </c>
      <c r="H13" s="273"/>
      <c r="I13" s="274"/>
      <c r="J13" s="255">
        <f>'Other Deduction'!B7</f>
        <v>0</v>
      </c>
      <c r="K13" s="255"/>
      <c r="L13" s="255">
        <f>D13+G13+J13</f>
        <v>0</v>
      </c>
      <c r="M13" s="255"/>
      <c r="N13" s="255"/>
      <c r="O13" s="264"/>
      <c r="P13" s="265"/>
    </row>
    <row r="14" spans="1:16" s="10" customFormat="1" ht="15" customHeight="1">
      <c r="A14" s="119"/>
      <c r="B14" s="250" t="s">
        <v>105</v>
      </c>
      <c r="C14" s="251"/>
      <c r="D14" s="251"/>
      <c r="E14" s="251"/>
      <c r="F14" s="251"/>
      <c r="G14" s="251"/>
      <c r="H14" s="251"/>
      <c r="I14" s="251"/>
      <c r="J14" s="251"/>
      <c r="K14" s="251"/>
      <c r="L14" s="251"/>
      <c r="M14" s="251"/>
      <c r="N14" s="252"/>
      <c r="O14" s="120" t="s">
        <v>77</v>
      </c>
      <c r="P14" s="122">
        <v>0</v>
      </c>
    </row>
    <row r="15" spans="1:16" s="10" customFormat="1" ht="15" customHeight="1">
      <c r="A15" s="119">
        <v>8</v>
      </c>
      <c r="B15" s="250" t="s">
        <v>106</v>
      </c>
      <c r="C15" s="251"/>
      <c r="D15" s="251"/>
      <c r="E15" s="251"/>
      <c r="F15" s="251"/>
      <c r="G15" s="251"/>
      <c r="H15" s="251"/>
      <c r="I15" s="251"/>
      <c r="J15" s="251"/>
      <c r="K15" s="251"/>
      <c r="L15" s="251"/>
      <c r="M15" s="251"/>
      <c r="N15" s="252"/>
      <c r="O15" s="120" t="s">
        <v>77</v>
      </c>
      <c r="P15" s="122">
        <f>P10+P14</f>
        <v>961669</v>
      </c>
    </row>
    <row r="16" spans="1:16" s="10" customFormat="1" ht="15" customHeight="1">
      <c r="A16" s="119">
        <v>9</v>
      </c>
      <c r="B16" s="195" t="s">
        <v>107</v>
      </c>
      <c r="C16" s="195"/>
      <c r="D16" s="195"/>
      <c r="E16" s="195"/>
      <c r="F16" s="195"/>
      <c r="G16" s="195"/>
      <c r="H16" s="195"/>
      <c r="I16" s="195"/>
      <c r="J16" s="195"/>
      <c r="K16" s="195"/>
      <c r="L16" s="195"/>
      <c r="M16" s="195"/>
      <c r="N16" s="195"/>
      <c r="O16" s="120" t="s">
        <v>77</v>
      </c>
      <c r="P16" s="122">
        <f>'Other Deduction'!E3+'Other Deduction'!E4</f>
        <v>0</v>
      </c>
    </row>
    <row r="17" spans="1:16" s="10" customFormat="1" ht="15" customHeight="1">
      <c r="A17" s="119">
        <v>10</v>
      </c>
      <c r="B17" s="195" t="s">
        <v>108</v>
      </c>
      <c r="C17" s="195"/>
      <c r="D17" s="195"/>
      <c r="E17" s="195"/>
      <c r="F17" s="195"/>
      <c r="G17" s="195"/>
      <c r="H17" s="195"/>
      <c r="I17" s="195"/>
      <c r="J17" s="195"/>
      <c r="K17" s="195"/>
      <c r="L17" s="195"/>
      <c r="M17" s="195"/>
      <c r="N17" s="195"/>
      <c r="O17" s="120" t="s">
        <v>77</v>
      </c>
      <c r="P17" s="121">
        <f>P15+P16</f>
        <v>961669</v>
      </c>
    </row>
    <row r="18" spans="1:16" s="10" customFormat="1" ht="15" customHeight="1">
      <c r="A18" s="192">
        <v>11</v>
      </c>
      <c r="B18" s="217" t="s">
        <v>109</v>
      </c>
      <c r="C18" s="217"/>
      <c r="D18" s="217"/>
      <c r="E18" s="217"/>
      <c r="F18" s="217"/>
      <c r="G18" s="217"/>
      <c r="H18" s="217"/>
      <c r="I18" s="217"/>
      <c r="J18" s="217"/>
      <c r="K18" s="217"/>
      <c r="L18" s="217"/>
      <c r="M18" s="217"/>
      <c r="N18" s="217"/>
      <c r="O18" s="217"/>
      <c r="P18" s="275"/>
    </row>
    <row r="19" spans="1:16" s="10" customFormat="1" ht="18" customHeight="1">
      <c r="A19" s="193"/>
      <c r="B19" s="217" t="s">
        <v>154</v>
      </c>
      <c r="C19" s="217"/>
      <c r="D19" s="217"/>
      <c r="E19" s="217"/>
      <c r="F19" s="217"/>
      <c r="G19" s="217"/>
      <c r="H19" s="217"/>
      <c r="I19" s="217"/>
      <c r="J19" s="217"/>
      <c r="K19" s="217"/>
      <c r="L19" s="217"/>
      <c r="M19" s="217"/>
      <c r="N19" s="217"/>
      <c r="O19" s="217"/>
      <c r="P19" s="275"/>
    </row>
    <row r="20" spans="1:16" s="10" customFormat="1" ht="14.25" customHeight="1">
      <c r="A20" s="193"/>
      <c r="B20" s="123">
        <v>1</v>
      </c>
      <c r="C20" s="237" t="s">
        <v>152</v>
      </c>
      <c r="D20" s="238"/>
      <c r="E20" s="238"/>
      <c r="F20" s="238"/>
      <c r="G20" s="120" t="s">
        <v>77</v>
      </c>
      <c r="H20" s="124">
        <f>IF(Salary!E14="Yes",Salary!O42,0)</f>
        <v>89564</v>
      </c>
      <c r="I20" s="123">
        <v>10</v>
      </c>
      <c r="J20" s="228" t="s">
        <v>76</v>
      </c>
      <c r="K20" s="229"/>
      <c r="L20" s="230"/>
      <c r="M20" s="120" t="s">
        <v>77</v>
      </c>
      <c r="N20" s="124">
        <f>'Other Deduction'!E6</f>
        <v>0</v>
      </c>
      <c r="O20" s="125"/>
      <c r="P20" s="148"/>
    </row>
    <row r="21" spans="1:16" s="10" customFormat="1" ht="26.25" customHeight="1">
      <c r="A21" s="193"/>
      <c r="B21" s="123">
        <v>2</v>
      </c>
      <c r="C21" s="237" t="s">
        <v>72</v>
      </c>
      <c r="D21" s="238"/>
      <c r="E21" s="238"/>
      <c r="F21" s="238"/>
      <c r="G21" s="120" t="s">
        <v>77</v>
      </c>
      <c r="H21" s="124">
        <f>Salary!S42+'Other Deduction'!B10</f>
        <v>0</v>
      </c>
      <c r="I21" s="123">
        <v>11</v>
      </c>
      <c r="J21" s="239" t="s">
        <v>78</v>
      </c>
      <c r="K21" s="240"/>
      <c r="L21" s="241"/>
      <c r="M21" s="120" t="s">
        <v>77</v>
      </c>
      <c r="N21" s="127">
        <f>'Other Deduction'!B15</f>
        <v>0</v>
      </c>
      <c r="O21" s="128"/>
      <c r="P21" s="129"/>
    </row>
    <row r="22" spans="1:16" s="10" customFormat="1" ht="14.25" customHeight="1">
      <c r="A22" s="193"/>
      <c r="B22" s="123">
        <v>3</v>
      </c>
      <c r="C22" s="237" t="s">
        <v>73</v>
      </c>
      <c r="D22" s="238"/>
      <c r="E22" s="238"/>
      <c r="F22" s="238"/>
      <c r="G22" s="120" t="s">
        <v>77</v>
      </c>
      <c r="H22" s="124">
        <f>'Other Deduction'!B14</f>
        <v>0</v>
      </c>
      <c r="I22" s="123">
        <v>12</v>
      </c>
      <c r="J22" s="239" t="s">
        <v>79</v>
      </c>
      <c r="K22" s="240"/>
      <c r="L22" s="241"/>
      <c r="M22" s="120" t="s">
        <v>77</v>
      </c>
      <c r="N22" s="127">
        <f>'Other Deduction'!B12</f>
        <v>0</v>
      </c>
      <c r="O22" s="128"/>
      <c r="P22" s="129"/>
    </row>
    <row r="23" spans="1:16" s="10" customFormat="1" ht="15" customHeight="1">
      <c r="A23" s="193"/>
      <c r="B23" s="123">
        <v>4</v>
      </c>
      <c r="C23" s="237" t="s">
        <v>85</v>
      </c>
      <c r="D23" s="238"/>
      <c r="E23" s="238"/>
      <c r="F23" s="238"/>
      <c r="G23" s="120" t="s">
        <v>77</v>
      </c>
      <c r="H23" s="124">
        <f>'Other Deduction'!B16</f>
        <v>0</v>
      </c>
      <c r="I23" s="123">
        <v>13</v>
      </c>
      <c r="J23" s="239" t="s">
        <v>80</v>
      </c>
      <c r="K23" s="240"/>
      <c r="L23" s="241"/>
      <c r="M23" s="120" t="s">
        <v>77</v>
      </c>
      <c r="N23" s="124">
        <f>'Other Deduction'!E15</f>
        <v>0</v>
      </c>
      <c r="O23" s="128"/>
      <c r="P23" s="129"/>
    </row>
    <row r="24" spans="1:16" s="10" customFormat="1" ht="15.75" customHeight="1">
      <c r="A24" s="193"/>
      <c r="B24" s="123">
        <v>5</v>
      </c>
      <c r="C24" s="237" t="s">
        <v>86</v>
      </c>
      <c r="D24" s="238"/>
      <c r="E24" s="238"/>
      <c r="F24" s="238"/>
      <c r="G24" s="120" t="s">
        <v>77</v>
      </c>
      <c r="H24" s="124">
        <f>'Other Deduction'!B17</f>
        <v>0</v>
      </c>
      <c r="I24" s="123">
        <v>14</v>
      </c>
      <c r="J24" s="228" t="s">
        <v>81</v>
      </c>
      <c r="K24" s="270"/>
      <c r="L24" s="271"/>
      <c r="M24" s="120" t="s">
        <v>77</v>
      </c>
      <c r="N24" s="124">
        <f>'Other Deduction'!E16</f>
        <v>0</v>
      </c>
      <c r="O24" s="128"/>
      <c r="P24" s="129"/>
    </row>
    <row r="25" spans="1:16" s="10" customFormat="1" ht="15.75" customHeight="1">
      <c r="A25" s="193"/>
      <c r="B25" s="123">
        <v>6</v>
      </c>
      <c r="C25" s="228" t="s">
        <v>143</v>
      </c>
      <c r="D25" s="270"/>
      <c r="E25" s="270"/>
      <c r="F25" s="271"/>
      <c r="G25" s="120" t="s">
        <v>77</v>
      </c>
      <c r="H25" s="124">
        <f>IF(Salary!E14="no",Salary!O42,0)</f>
        <v>0</v>
      </c>
      <c r="I25" s="123">
        <v>15</v>
      </c>
      <c r="J25" s="228" t="s">
        <v>82</v>
      </c>
      <c r="K25" s="270"/>
      <c r="L25" s="271"/>
      <c r="M25" s="120" t="s">
        <v>77</v>
      </c>
      <c r="N25" s="124">
        <f>'Other Deduction'!B11</f>
        <v>0</v>
      </c>
      <c r="O25" s="128"/>
      <c r="P25" s="130"/>
    </row>
    <row r="26" spans="1:16" s="10" customFormat="1" ht="15" customHeight="1">
      <c r="A26" s="193"/>
      <c r="B26" s="123">
        <v>7</v>
      </c>
      <c r="C26" s="228" t="s">
        <v>74</v>
      </c>
      <c r="D26" s="270"/>
      <c r="E26" s="270"/>
      <c r="F26" s="271"/>
      <c r="G26" s="120" t="s">
        <v>77</v>
      </c>
      <c r="H26" s="127">
        <f>Salary!Q42</f>
        <v>1044</v>
      </c>
      <c r="I26" s="123">
        <v>16</v>
      </c>
      <c r="J26" s="228" t="s">
        <v>83</v>
      </c>
      <c r="K26" s="229"/>
      <c r="L26" s="230"/>
      <c r="M26" s="120" t="s">
        <v>77</v>
      </c>
      <c r="N26" s="124">
        <f>'Other Deduction'!E5</f>
        <v>0</v>
      </c>
      <c r="O26" s="128"/>
      <c r="P26" s="130"/>
    </row>
    <row r="27" spans="1:16" s="10" customFormat="1" ht="15.75" customHeight="1">
      <c r="A27" s="193"/>
      <c r="B27" s="123">
        <v>8</v>
      </c>
      <c r="C27" s="237" t="s">
        <v>75</v>
      </c>
      <c r="D27" s="237"/>
      <c r="E27" s="237"/>
      <c r="F27" s="237"/>
      <c r="G27" s="120" t="s">
        <v>77</v>
      </c>
      <c r="H27" s="127">
        <f>'Other Deduction'!B13</f>
        <v>0</v>
      </c>
      <c r="I27" s="123">
        <v>17</v>
      </c>
      <c r="J27" s="239" t="s">
        <v>84</v>
      </c>
      <c r="K27" s="240"/>
      <c r="L27" s="241"/>
      <c r="M27" s="120" t="s">
        <v>77</v>
      </c>
      <c r="N27" s="124">
        <f>'Other Deduction'!B18</f>
        <v>0</v>
      </c>
      <c r="O27" s="128"/>
      <c r="P27" s="130"/>
    </row>
    <row r="28" spans="1:16" s="10" customFormat="1" ht="27" customHeight="1">
      <c r="A28" s="193"/>
      <c r="B28" s="131">
        <v>9</v>
      </c>
      <c r="C28" s="226" t="s">
        <v>196</v>
      </c>
      <c r="D28" s="226"/>
      <c r="E28" s="226"/>
      <c r="F28" s="226"/>
      <c r="G28" s="132" t="s">
        <v>77</v>
      </c>
      <c r="H28" s="133">
        <f>Salary!U42+'Other Deduction'!B8</f>
        <v>0</v>
      </c>
      <c r="I28" s="131">
        <v>18</v>
      </c>
      <c r="J28" s="226"/>
      <c r="K28" s="226"/>
      <c r="L28" s="226"/>
      <c r="M28" s="132" t="s">
        <v>77</v>
      </c>
      <c r="N28" s="124"/>
      <c r="O28" s="128"/>
      <c r="P28" s="129"/>
    </row>
    <row r="29" spans="1:16" s="10" customFormat="1" ht="15" customHeight="1">
      <c r="A29" s="193"/>
      <c r="B29" s="276" t="s">
        <v>88</v>
      </c>
      <c r="C29" s="277"/>
      <c r="D29" s="277"/>
      <c r="E29" s="277"/>
      <c r="F29" s="277"/>
      <c r="G29" s="277"/>
      <c r="H29" s="277"/>
      <c r="I29" s="277"/>
      <c r="J29" s="277"/>
      <c r="K29" s="277"/>
      <c r="L29" s="278"/>
      <c r="M29" s="132" t="s">
        <v>77</v>
      </c>
      <c r="N29" s="134">
        <f>SUM(H20:H28)+SUM(N20:N28)</f>
        <v>90608</v>
      </c>
      <c r="O29" s="135"/>
      <c r="P29" s="149"/>
    </row>
    <row r="30" spans="1:16" s="10" customFormat="1" ht="16.5" customHeight="1">
      <c r="A30" s="193"/>
      <c r="B30" s="227" t="s">
        <v>87</v>
      </c>
      <c r="C30" s="227"/>
      <c r="D30" s="227"/>
      <c r="E30" s="227"/>
      <c r="F30" s="227"/>
      <c r="G30" s="227"/>
      <c r="H30" s="227"/>
      <c r="I30" s="227"/>
      <c r="J30" s="227"/>
      <c r="K30" s="227"/>
      <c r="L30" s="227"/>
      <c r="M30" s="227"/>
      <c r="N30" s="227"/>
      <c r="O30" s="132" t="s">
        <v>77</v>
      </c>
      <c r="P30" s="121">
        <v>0</v>
      </c>
    </row>
    <row r="31" spans="1:16" s="10" customFormat="1" ht="17.25" customHeight="1">
      <c r="A31" s="137"/>
      <c r="B31" s="234" t="s">
        <v>200</v>
      </c>
      <c r="C31" s="235"/>
      <c r="D31" s="235"/>
      <c r="E31" s="235"/>
      <c r="F31" s="235"/>
      <c r="G31" s="235"/>
      <c r="H31" s="235"/>
      <c r="I31" s="235"/>
      <c r="J31" s="235"/>
      <c r="K31" s="235"/>
      <c r="L31" s="235"/>
      <c r="M31" s="235"/>
      <c r="N31" s="236"/>
      <c r="O31" s="132" t="s">
        <v>77</v>
      </c>
      <c r="P31" s="121">
        <f>IF(Salary!E14="yes",Salary!P42,0)</f>
        <v>125385</v>
      </c>
    </row>
    <row r="32" spans="1:16" s="10" customFormat="1" ht="15" customHeight="1">
      <c r="A32" s="137"/>
      <c r="B32" s="297" t="s">
        <v>155</v>
      </c>
      <c r="C32" s="298"/>
      <c r="D32" s="298"/>
      <c r="E32" s="298"/>
      <c r="F32" s="298"/>
      <c r="G32" s="298"/>
      <c r="H32" s="298"/>
      <c r="I32" s="298"/>
      <c r="J32" s="298"/>
      <c r="K32" s="298"/>
      <c r="L32" s="298"/>
      <c r="M32" s="298"/>
      <c r="N32" s="299"/>
      <c r="O32" s="132" t="s">
        <v>77</v>
      </c>
      <c r="P32" s="121">
        <v>0</v>
      </c>
    </row>
    <row r="33" spans="1:16" s="10" customFormat="1" ht="15" customHeight="1">
      <c r="A33" s="137"/>
      <c r="B33" s="286" t="s">
        <v>156</v>
      </c>
      <c r="C33" s="287"/>
      <c r="D33" s="287"/>
      <c r="E33" s="287"/>
      <c r="F33" s="287"/>
      <c r="G33" s="287"/>
      <c r="H33" s="287"/>
      <c r="I33" s="287"/>
      <c r="J33" s="287"/>
      <c r="K33" s="287"/>
      <c r="L33" s="287"/>
      <c r="M33" s="287"/>
      <c r="N33" s="288"/>
      <c r="O33" s="132"/>
      <c r="P33" s="121">
        <f>P30+P31+P32</f>
        <v>125385</v>
      </c>
    </row>
    <row r="34" spans="1:16" s="10" customFormat="1" ht="15" customHeight="1">
      <c r="A34" s="192">
        <v>12</v>
      </c>
      <c r="B34" s="231" t="s">
        <v>110</v>
      </c>
      <c r="C34" s="231"/>
      <c r="D34" s="231"/>
      <c r="E34" s="231"/>
      <c r="F34" s="231"/>
      <c r="G34" s="231"/>
      <c r="H34" s="231"/>
      <c r="I34" s="231"/>
      <c r="J34" s="231"/>
      <c r="K34" s="231"/>
      <c r="L34" s="231"/>
      <c r="M34" s="231"/>
      <c r="N34" s="231"/>
      <c r="O34" s="231"/>
      <c r="P34" s="232"/>
    </row>
    <row r="35" spans="1:16" s="10" customFormat="1" ht="27.75" customHeight="1">
      <c r="A35" s="193"/>
      <c r="B35" s="228" t="s">
        <v>111</v>
      </c>
      <c r="C35" s="229"/>
      <c r="D35" s="229"/>
      <c r="E35" s="229"/>
      <c r="F35" s="229"/>
      <c r="G35" s="229"/>
      <c r="H35" s="229"/>
      <c r="I35" s="229"/>
      <c r="J35" s="229"/>
      <c r="K35" s="229"/>
      <c r="L35" s="229"/>
      <c r="M35" s="229"/>
      <c r="N35" s="230"/>
      <c r="O35" s="132" t="s">
        <v>77</v>
      </c>
      <c r="P35" s="122">
        <v>0</v>
      </c>
    </row>
    <row r="36" spans="1:16" s="10" customFormat="1" ht="17.25" customHeight="1">
      <c r="A36" s="193"/>
      <c r="B36" s="233" t="s">
        <v>177</v>
      </c>
      <c r="C36" s="233"/>
      <c r="D36" s="233"/>
      <c r="E36" s="233"/>
      <c r="F36" s="233"/>
      <c r="G36" s="233"/>
      <c r="H36" s="233"/>
      <c r="I36" s="233"/>
      <c r="J36" s="233"/>
      <c r="K36" s="233"/>
      <c r="L36" s="233"/>
      <c r="M36" s="233"/>
      <c r="N36" s="233"/>
      <c r="O36" s="132" t="s">
        <v>77</v>
      </c>
      <c r="P36" s="122">
        <v>0</v>
      </c>
    </row>
    <row r="37" spans="1:16" s="10" customFormat="1" ht="18" customHeight="1">
      <c r="A37" s="193"/>
      <c r="B37" s="233" t="s">
        <v>176</v>
      </c>
      <c r="C37" s="233"/>
      <c r="D37" s="233"/>
      <c r="E37" s="233"/>
      <c r="F37" s="233"/>
      <c r="G37" s="233"/>
      <c r="H37" s="233"/>
      <c r="I37" s="233"/>
      <c r="J37" s="233"/>
      <c r="K37" s="233"/>
      <c r="L37" s="233"/>
      <c r="M37" s="233"/>
      <c r="N37" s="233"/>
      <c r="O37" s="132" t="s">
        <v>77</v>
      </c>
      <c r="P37" s="122">
        <v>0</v>
      </c>
    </row>
    <row r="38" spans="1:16" s="10" customFormat="1" ht="16.5" customHeight="1">
      <c r="A38" s="193"/>
      <c r="B38" s="233" t="s">
        <v>175</v>
      </c>
      <c r="C38" s="233"/>
      <c r="D38" s="233"/>
      <c r="E38" s="233"/>
      <c r="F38" s="233"/>
      <c r="G38" s="233"/>
      <c r="H38" s="233"/>
      <c r="I38" s="233"/>
      <c r="J38" s="233"/>
      <c r="K38" s="233"/>
      <c r="L38" s="233"/>
      <c r="M38" s="233"/>
      <c r="N38" s="233"/>
      <c r="O38" s="132" t="s">
        <v>77</v>
      </c>
      <c r="P38" s="122">
        <v>0</v>
      </c>
    </row>
    <row r="39" spans="1:16" s="10" customFormat="1" ht="16.5" customHeight="1">
      <c r="A39" s="193"/>
      <c r="B39" s="233" t="s">
        <v>174</v>
      </c>
      <c r="C39" s="233"/>
      <c r="D39" s="233"/>
      <c r="E39" s="233"/>
      <c r="F39" s="233"/>
      <c r="G39" s="233"/>
      <c r="H39" s="233"/>
      <c r="I39" s="233"/>
      <c r="J39" s="233"/>
      <c r="K39" s="233"/>
      <c r="L39" s="233"/>
      <c r="M39" s="233"/>
      <c r="N39" s="233"/>
      <c r="O39" s="132" t="s">
        <v>77</v>
      </c>
      <c r="P39" s="122">
        <v>0</v>
      </c>
    </row>
    <row r="40" spans="1:16" s="10" customFormat="1" ht="15" customHeight="1">
      <c r="A40" s="193"/>
      <c r="B40" s="228" t="s">
        <v>173</v>
      </c>
      <c r="C40" s="229"/>
      <c r="D40" s="229"/>
      <c r="E40" s="229"/>
      <c r="F40" s="229"/>
      <c r="G40" s="229"/>
      <c r="H40" s="229"/>
      <c r="I40" s="229"/>
      <c r="J40" s="229"/>
      <c r="K40" s="229"/>
      <c r="L40" s="229"/>
      <c r="M40" s="229"/>
      <c r="N40" s="230"/>
      <c r="O40" s="132" t="s">
        <v>77</v>
      </c>
      <c r="P40" s="122">
        <v>0</v>
      </c>
    </row>
    <row r="41" spans="1:16" s="10" customFormat="1" ht="17.25" customHeight="1">
      <c r="A41" s="193"/>
      <c r="B41" s="234" t="s">
        <v>172</v>
      </c>
      <c r="C41" s="235"/>
      <c r="D41" s="235"/>
      <c r="E41" s="235"/>
      <c r="F41" s="235"/>
      <c r="G41" s="235"/>
      <c r="H41" s="235"/>
      <c r="I41" s="235"/>
      <c r="J41" s="235"/>
      <c r="K41" s="235"/>
      <c r="L41" s="235"/>
      <c r="M41" s="235"/>
      <c r="N41" s="236"/>
      <c r="O41" s="132" t="s">
        <v>77</v>
      </c>
      <c r="P41" s="122">
        <v>0</v>
      </c>
    </row>
    <row r="42" spans="1:16" s="10" customFormat="1" ht="15.75" customHeight="1">
      <c r="A42" s="193"/>
      <c r="B42" s="234" t="s">
        <v>171</v>
      </c>
      <c r="C42" s="235"/>
      <c r="D42" s="235"/>
      <c r="E42" s="235"/>
      <c r="F42" s="235"/>
      <c r="G42" s="235"/>
      <c r="H42" s="235"/>
      <c r="I42" s="235"/>
      <c r="J42" s="235"/>
      <c r="K42" s="235"/>
      <c r="L42" s="235"/>
      <c r="M42" s="235"/>
      <c r="N42" s="236"/>
      <c r="O42" s="132" t="s">
        <v>77</v>
      </c>
      <c r="P42" s="122">
        <v>0</v>
      </c>
    </row>
    <row r="43" spans="1:16" s="10" customFormat="1" ht="15" customHeight="1">
      <c r="A43" s="194"/>
      <c r="B43" s="227" t="s">
        <v>112</v>
      </c>
      <c r="C43" s="227"/>
      <c r="D43" s="227"/>
      <c r="E43" s="227"/>
      <c r="F43" s="227"/>
      <c r="G43" s="227"/>
      <c r="H43" s="227"/>
      <c r="I43" s="227"/>
      <c r="J43" s="227"/>
      <c r="K43" s="227"/>
      <c r="L43" s="227"/>
      <c r="M43" s="227"/>
      <c r="N43" s="227"/>
      <c r="O43" s="132" t="s">
        <v>77</v>
      </c>
      <c r="P43" s="122">
        <v>0</v>
      </c>
    </row>
    <row r="44" spans="1:16" s="10" customFormat="1" ht="15" customHeight="1">
      <c r="A44" s="119">
        <v>13</v>
      </c>
      <c r="B44" s="217" t="s">
        <v>113</v>
      </c>
      <c r="C44" s="217"/>
      <c r="D44" s="217"/>
      <c r="E44" s="217"/>
      <c r="F44" s="217"/>
      <c r="G44" s="217"/>
      <c r="H44" s="217"/>
      <c r="I44" s="217"/>
      <c r="J44" s="217"/>
      <c r="K44" s="217"/>
      <c r="L44" s="217"/>
      <c r="M44" s="217"/>
      <c r="N44" s="217"/>
      <c r="O44" s="132" t="s">
        <v>77</v>
      </c>
      <c r="P44" s="122">
        <f>P33+P43</f>
        <v>125385</v>
      </c>
    </row>
    <row r="45" spans="1:16" s="10" customFormat="1" ht="15" customHeight="1">
      <c r="A45" s="119">
        <v>14</v>
      </c>
      <c r="B45" s="195" t="s">
        <v>114</v>
      </c>
      <c r="C45" s="195"/>
      <c r="D45" s="195"/>
      <c r="E45" s="195"/>
      <c r="F45" s="195"/>
      <c r="G45" s="195"/>
      <c r="H45" s="195"/>
      <c r="I45" s="195"/>
      <c r="J45" s="195"/>
      <c r="K45" s="195"/>
      <c r="L45" s="195"/>
      <c r="M45" s="195"/>
      <c r="N45" s="195"/>
      <c r="O45" s="132" t="s">
        <v>77</v>
      </c>
      <c r="P45" s="122">
        <f>(P17-P44)</f>
        <v>836284</v>
      </c>
    </row>
    <row r="46" spans="1:16" s="10" customFormat="1" ht="15.75">
      <c r="A46" s="119">
        <v>15</v>
      </c>
      <c r="B46" s="217" t="s">
        <v>115</v>
      </c>
      <c r="C46" s="217"/>
      <c r="D46" s="217"/>
      <c r="E46" s="217"/>
      <c r="F46" s="217"/>
      <c r="G46" s="217"/>
      <c r="H46" s="217"/>
      <c r="I46" s="217"/>
      <c r="J46" s="217"/>
      <c r="K46" s="217"/>
      <c r="L46" s="217"/>
      <c r="M46" s="217"/>
      <c r="N46" s="217"/>
      <c r="O46" s="132" t="s">
        <v>77</v>
      </c>
      <c r="P46" s="121">
        <f>ROUND(P45,-1)</f>
        <v>836280</v>
      </c>
    </row>
    <row r="47" spans="1:16" s="10" customFormat="1" ht="15" customHeight="1">
      <c r="A47" s="192">
        <v>16</v>
      </c>
      <c r="B47" s="195" t="s">
        <v>116</v>
      </c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95"/>
      <c r="O47" s="195"/>
      <c r="P47" s="196"/>
    </row>
    <row r="48" spans="1:16" s="10" customFormat="1" ht="15" customHeight="1">
      <c r="A48" s="193"/>
      <c r="B48" s="197" t="s">
        <v>118</v>
      </c>
      <c r="C48" s="197"/>
      <c r="D48" s="197"/>
      <c r="E48" s="197"/>
      <c r="F48" s="197"/>
      <c r="G48" s="197" t="s">
        <v>117</v>
      </c>
      <c r="H48" s="197"/>
      <c r="I48" s="197"/>
      <c r="J48" s="197"/>
      <c r="K48" s="198" t="s">
        <v>119</v>
      </c>
      <c r="L48" s="199"/>
      <c r="M48" s="199"/>
      <c r="N48" s="200"/>
      <c r="O48" s="139"/>
      <c r="P48" s="140"/>
    </row>
    <row r="49" spans="1:16" s="10" customFormat="1" ht="15" customHeight="1">
      <c r="A49" s="193"/>
      <c r="B49" s="201" t="s">
        <v>215</v>
      </c>
      <c r="C49" s="202"/>
      <c r="D49" s="203"/>
      <c r="E49" s="205" t="s">
        <v>18</v>
      </c>
      <c r="F49" s="205"/>
      <c r="G49" s="201" t="s">
        <v>215</v>
      </c>
      <c r="H49" s="202"/>
      <c r="I49" s="203"/>
      <c r="J49" s="141" t="s">
        <v>18</v>
      </c>
      <c r="K49" s="201" t="s">
        <v>215</v>
      </c>
      <c r="L49" s="202"/>
      <c r="M49" s="203"/>
      <c r="N49" s="141" t="s">
        <v>18</v>
      </c>
      <c r="O49" s="132" t="s">
        <v>77</v>
      </c>
      <c r="P49" s="142">
        <v>0</v>
      </c>
    </row>
    <row r="50" spans="1:16" s="10" customFormat="1" ht="15" customHeight="1">
      <c r="A50" s="193"/>
      <c r="B50" s="201" t="s">
        <v>216</v>
      </c>
      <c r="C50" s="202"/>
      <c r="D50" s="203"/>
      <c r="E50" s="204">
        <v>0.05</v>
      </c>
      <c r="F50" s="205"/>
      <c r="G50" s="201" t="s">
        <v>216</v>
      </c>
      <c r="H50" s="202"/>
      <c r="I50" s="203"/>
      <c r="J50" s="143">
        <v>0.05</v>
      </c>
      <c r="K50" s="201" t="s">
        <v>216</v>
      </c>
      <c r="L50" s="202"/>
      <c r="M50" s="203"/>
      <c r="N50" s="143">
        <v>0.05</v>
      </c>
      <c r="O50" s="132" t="s">
        <v>77</v>
      </c>
      <c r="P50" s="142">
        <f>ROUND(IF(P46&lt;400001,0,IF(P46&gt;800000,20000,((P46-400000)*5%))),0)</f>
        <v>20000</v>
      </c>
    </row>
    <row r="51" spans="1:16" s="10" customFormat="1" ht="15" customHeight="1">
      <c r="A51" s="193"/>
      <c r="B51" s="201" t="s">
        <v>217</v>
      </c>
      <c r="C51" s="202"/>
      <c r="D51" s="203"/>
      <c r="E51" s="204">
        <v>0.1</v>
      </c>
      <c r="F51" s="205"/>
      <c r="G51" s="201" t="s">
        <v>217</v>
      </c>
      <c r="H51" s="202"/>
      <c r="I51" s="203"/>
      <c r="J51" s="143">
        <v>0.1</v>
      </c>
      <c r="K51" s="201" t="s">
        <v>217</v>
      </c>
      <c r="L51" s="202"/>
      <c r="M51" s="203"/>
      <c r="N51" s="143">
        <v>0.1</v>
      </c>
      <c r="O51" s="132" t="s">
        <v>77</v>
      </c>
      <c r="P51" s="142">
        <f>IF(P46&lt;800001,0,IF(P46&gt;1200000,40000,((P46-800000)*10%)))</f>
        <v>3628</v>
      </c>
    </row>
    <row r="52" spans="1:16" s="10" customFormat="1" ht="15" customHeight="1">
      <c r="A52" s="193"/>
      <c r="B52" s="201" t="s">
        <v>218</v>
      </c>
      <c r="C52" s="202"/>
      <c r="D52" s="203"/>
      <c r="E52" s="300">
        <v>0.15</v>
      </c>
      <c r="F52" s="301"/>
      <c r="G52" s="201" t="s">
        <v>218</v>
      </c>
      <c r="H52" s="202"/>
      <c r="I52" s="203"/>
      <c r="J52" s="143">
        <v>0.15</v>
      </c>
      <c r="K52" s="201" t="s">
        <v>218</v>
      </c>
      <c r="L52" s="202"/>
      <c r="M52" s="203"/>
      <c r="N52" s="143">
        <v>0.15</v>
      </c>
      <c r="O52" s="132" t="s">
        <v>77</v>
      </c>
      <c r="P52" s="142">
        <f>IF(P46&lt;1200001,0,IF(P46&gt;1600000,60000,((P46-1200000)*15%)))</f>
        <v>0</v>
      </c>
    </row>
    <row r="53" spans="1:16" s="10" customFormat="1" ht="15" customHeight="1">
      <c r="A53" s="193"/>
      <c r="B53" s="201" t="s">
        <v>219</v>
      </c>
      <c r="C53" s="202"/>
      <c r="D53" s="203"/>
      <c r="E53" s="300">
        <v>0.2</v>
      </c>
      <c r="F53" s="301"/>
      <c r="G53" s="201" t="s">
        <v>219</v>
      </c>
      <c r="H53" s="202"/>
      <c r="I53" s="203"/>
      <c r="J53" s="143">
        <v>0.2</v>
      </c>
      <c r="K53" s="201" t="s">
        <v>219</v>
      </c>
      <c r="L53" s="202"/>
      <c r="M53" s="203"/>
      <c r="N53" s="143">
        <v>0.2</v>
      </c>
      <c r="O53" s="132" t="s">
        <v>77</v>
      </c>
      <c r="P53" s="142">
        <f>IF(P46&lt;1600001,0,IF(P46&gt;2000000,80000,((P46-1600000)*20%)))</f>
        <v>0</v>
      </c>
    </row>
    <row r="54" spans="1:16" s="10" customFormat="1" ht="15" customHeight="1">
      <c r="A54" s="193"/>
      <c r="B54" s="201" t="s">
        <v>220</v>
      </c>
      <c r="C54" s="202"/>
      <c r="D54" s="203"/>
      <c r="E54" s="300">
        <v>0.25</v>
      </c>
      <c r="F54" s="301"/>
      <c r="G54" s="201" t="s">
        <v>220</v>
      </c>
      <c r="H54" s="202"/>
      <c r="I54" s="203"/>
      <c r="J54" s="143">
        <v>0.25</v>
      </c>
      <c r="K54" s="201" t="s">
        <v>220</v>
      </c>
      <c r="L54" s="202"/>
      <c r="M54" s="203"/>
      <c r="N54" s="143">
        <v>0.25</v>
      </c>
      <c r="O54" s="132" t="s">
        <v>77</v>
      </c>
      <c r="P54" s="142">
        <f>IF(P46&lt;2000001,0,IF(P46&gt;2400000,100000,((P46-2000000)*25%)))</f>
        <v>0</v>
      </c>
    </row>
    <row r="55" spans="1:16" s="10" customFormat="1" ht="15" customHeight="1">
      <c r="A55" s="193"/>
      <c r="B55" s="201" t="s">
        <v>221</v>
      </c>
      <c r="C55" s="202"/>
      <c r="D55" s="203"/>
      <c r="E55" s="204">
        <v>0.3</v>
      </c>
      <c r="F55" s="205"/>
      <c r="G55" s="201" t="s">
        <v>221</v>
      </c>
      <c r="H55" s="202"/>
      <c r="I55" s="203"/>
      <c r="J55" s="143">
        <v>0.3</v>
      </c>
      <c r="K55" s="201" t="s">
        <v>221</v>
      </c>
      <c r="L55" s="202"/>
      <c r="M55" s="203"/>
      <c r="N55" s="143">
        <v>0.3</v>
      </c>
      <c r="O55" s="132" t="s">
        <v>77</v>
      </c>
      <c r="P55" s="142">
        <f>IF(P46&lt;2400001,0,(P46-2400000)*30%)</f>
        <v>0</v>
      </c>
    </row>
    <row r="56" spans="1:16" s="10" customFormat="1" ht="15" customHeight="1">
      <c r="A56" s="193"/>
      <c r="B56" s="185" t="s">
        <v>125</v>
      </c>
      <c r="C56" s="186"/>
      <c r="D56" s="186"/>
      <c r="E56" s="186"/>
      <c r="F56" s="186"/>
      <c r="G56" s="186"/>
      <c r="H56" s="186"/>
      <c r="I56" s="186"/>
      <c r="J56" s="186"/>
      <c r="K56" s="186"/>
      <c r="L56" s="186"/>
      <c r="M56" s="186"/>
      <c r="N56" s="187"/>
      <c r="O56" s="132" t="s">
        <v>77</v>
      </c>
      <c r="P56" s="121">
        <f>SUM(P49:P55)</f>
        <v>23628</v>
      </c>
    </row>
    <row r="57" spans="1:16" s="10" customFormat="1" ht="36.75" customHeight="1">
      <c r="A57" s="193"/>
      <c r="B57" s="302" t="s">
        <v>222</v>
      </c>
      <c r="C57" s="303"/>
      <c r="D57" s="303"/>
      <c r="E57" s="303"/>
      <c r="F57" s="303"/>
      <c r="G57" s="303"/>
      <c r="H57" s="303"/>
      <c r="I57" s="303"/>
      <c r="J57" s="303"/>
      <c r="K57" s="303"/>
      <c r="L57" s="303"/>
      <c r="M57" s="303"/>
      <c r="N57" s="304"/>
      <c r="O57" s="132" t="s">
        <v>77</v>
      </c>
      <c r="P57" s="122">
        <f>IF(P46&lt;1200001,P56,IF(P46&gt;1270584,0,P56-(P46-1200000)))</f>
        <v>23628</v>
      </c>
    </row>
    <row r="58" spans="1:16" s="10" customFormat="1" ht="15" customHeight="1">
      <c r="A58" s="193"/>
      <c r="B58" s="185" t="s">
        <v>207</v>
      </c>
      <c r="C58" s="186"/>
      <c r="D58" s="186"/>
      <c r="E58" s="186"/>
      <c r="F58" s="186"/>
      <c r="G58" s="186"/>
      <c r="H58" s="186"/>
      <c r="I58" s="186"/>
      <c r="J58" s="186"/>
      <c r="K58" s="186"/>
      <c r="L58" s="186"/>
      <c r="M58" s="186"/>
      <c r="N58" s="187"/>
      <c r="O58" s="132" t="s">
        <v>77</v>
      </c>
      <c r="P58" s="121">
        <f>P56-P57</f>
        <v>0</v>
      </c>
    </row>
    <row r="59" spans="1:16" s="10" customFormat="1" ht="15" customHeight="1">
      <c r="A59" s="193"/>
      <c r="B59" s="188" t="s">
        <v>208</v>
      </c>
      <c r="C59" s="188"/>
      <c r="D59" s="188"/>
      <c r="E59" s="188"/>
      <c r="F59" s="188"/>
      <c r="G59" s="188"/>
      <c r="H59" s="188"/>
      <c r="I59" s="188"/>
      <c r="J59" s="188"/>
      <c r="K59" s="188"/>
      <c r="L59" s="188"/>
      <c r="M59" s="188"/>
      <c r="N59" s="188"/>
      <c r="O59" s="132" t="s">
        <v>77</v>
      </c>
      <c r="P59" s="122">
        <f>ROUND(P58*0.04,0)</f>
        <v>0</v>
      </c>
    </row>
    <row r="60" spans="1:16" s="10" customFormat="1" ht="15" customHeight="1">
      <c r="A60" s="194"/>
      <c r="B60" s="189" t="s">
        <v>129</v>
      </c>
      <c r="C60" s="190"/>
      <c r="D60" s="190"/>
      <c r="E60" s="190"/>
      <c r="F60" s="190"/>
      <c r="G60" s="190"/>
      <c r="H60" s="190"/>
      <c r="I60" s="190"/>
      <c r="J60" s="190"/>
      <c r="K60" s="190"/>
      <c r="L60" s="190"/>
      <c r="M60" s="190"/>
      <c r="N60" s="191"/>
      <c r="O60" s="132" t="s">
        <v>77</v>
      </c>
      <c r="P60" s="121">
        <f>SUM(P58:P59)</f>
        <v>0</v>
      </c>
    </row>
    <row r="61" spans="1:16" s="10" customFormat="1" ht="15" customHeight="1">
      <c r="A61" s="119">
        <v>17</v>
      </c>
      <c r="B61" s="214" t="s">
        <v>130</v>
      </c>
      <c r="C61" s="215"/>
      <c r="D61" s="215"/>
      <c r="E61" s="215"/>
      <c r="F61" s="215"/>
      <c r="G61" s="215"/>
      <c r="H61" s="215"/>
      <c r="I61" s="215"/>
      <c r="J61" s="215"/>
      <c r="K61" s="215"/>
      <c r="L61" s="215"/>
      <c r="M61" s="215"/>
      <c r="N61" s="216"/>
      <c r="O61" s="132" t="s">
        <v>77</v>
      </c>
      <c r="P61" s="122">
        <f>'Other Deduction'!E17</f>
        <v>0</v>
      </c>
    </row>
    <row r="62" spans="1:16" s="10" customFormat="1" ht="15" customHeight="1">
      <c r="A62" s="119">
        <v>18</v>
      </c>
      <c r="B62" s="217" t="s">
        <v>131</v>
      </c>
      <c r="C62" s="217"/>
      <c r="D62" s="217"/>
      <c r="E62" s="217"/>
      <c r="F62" s="217"/>
      <c r="G62" s="217"/>
      <c r="H62" s="217"/>
      <c r="I62" s="217"/>
      <c r="J62" s="217"/>
      <c r="K62" s="217"/>
      <c r="L62" s="217"/>
      <c r="M62" s="217"/>
      <c r="N62" s="217"/>
      <c r="O62" s="132" t="s">
        <v>77</v>
      </c>
      <c r="P62" s="121">
        <f>P60-P61</f>
        <v>0</v>
      </c>
    </row>
    <row r="63" spans="1:16" ht="45.75" customHeight="1">
      <c r="A63" s="192">
        <v>19</v>
      </c>
      <c r="B63" s="220" t="s">
        <v>132</v>
      </c>
      <c r="C63" s="221"/>
      <c r="D63" s="222"/>
      <c r="E63" s="218" t="s">
        <v>226</v>
      </c>
      <c r="F63" s="218"/>
      <c r="G63" s="218"/>
      <c r="H63" s="218"/>
      <c r="I63" s="207" t="s">
        <v>223</v>
      </c>
      <c r="J63" s="219"/>
      <c r="K63" s="144" t="s">
        <v>224</v>
      </c>
      <c r="L63" s="207" t="s">
        <v>225</v>
      </c>
      <c r="M63" s="219"/>
      <c r="N63" s="144" t="s">
        <v>133</v>
      </c>
      <c r="O63" s="207" t="s">
        <v>134</v>
      </c>
      <c r="P63" s="208"/>
    </row>
    <row r="64" spans="1:16" ht="15.75">
      <c r="A64" s="194"/>
      <c r="B64" s="223"/>
      <c r="C64" s="224"/>
      <c r="D64" s="225"/>
      <c r="E64" s="209">
        <f>SUM(Salary!W23:W29)</f>
        <v>7000</v>
      </c>
      <c r="F64" s="209"/>
      <c r="G64" s="209"/>
      <c r="H64" s="209"/>
      <c r="I64" s="209">
        <f>SUM(Salary!W30:W32)</f>
        <v>3000</v>
      </c>
      <c r="J64" s="209"/>
      <c r="K64" s="145">
        <f>Salary!W33</f>
        <v>1000</v>
      </c>
      <c r="L64" s="209">
        <f>Salary!W34</f>
        <v>1000</v>
      </c>
      <c r="M64" s="209"/>
      <c r="N64" s="146">
        <f>SUM(Salary!W35:W41)+'Other Deduction'!E18</f>
        <v>0</v>
      </c>
      <c r="O64" s="210">
        <f>E64+I64+K64+L64+N64</f>
        <v>12000</v>
      </c>
      <c r="P64" s="211"/>
    </row>
    <row r="65" spans="1:17" ht="16.5" thickBot="1">
      <c r="A65" s="212" t="str">
        <f>IF(P62&gt;O64,"Income Tax Payable",IF(P62&lt;O64,"Income Tax Refundable","Income Tax Payble/Refundable"))</f>
        <v>Income Tax Refundable</v>
      </c>
      <c r="B65" s="213"/>
      <c r="C65" s="213"/>
      <c r="D65" s="213"/>
      <c r="E65" s="213"/>
      <c r="F65" s="213"/>
      <c r="G65" s="213"/>
      <c r="H65" s="213"/>
      <c r="I65" s="213"/>
      <c r="J65" s="213"/>
      <c r="K65" s="213"/>
      <c r="L65" s="213"/>
      <c r="M65" s="213"/>
      <c r="N65" s="213"/>
      <c r="O65" s="132" t="s">
        <v>77</v>
      </c>
      <c r="P65" s="147">
        <f>IF(P62&gt;O64,P62-O64,O64-P62)</f>
        <v>12000</v>
      </c>
    </row>
    <row r="66" spans="1:17" ht="15.75">
      <c r="A66" s="45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6"/>
      <c r="P66" s="16"/>
    </row>
    <row r="67" spans="1:17" ht="15.75">
      <c r="A67" s="47"/>
      <c r="B67" s="279" t="s">
        <v>135</v>
      </c>
      <c r="C67" s="279"/>
      <c r="D67" s="279"/>
      <c r="E67" s="279"/>
      <c r="F67" s="48"/>
      <c r="G67" s="48"/>
      <c r="H67" s="48"/>
      <c r="I67" s="48"/>
      <c r="J67" s="48"/>
      <c r="K67" s="48"/>
      <c r="L67" s="279" t="s">
        <v>23</v>
      </c>
      <c r="M67" s="279"/>
      <c r="N67" s="279"/>
      <c r="O67" s="279"/>
      <c r="P67" s="49"/>
    </row>
    <row r="68" spans="1:17" ht="15.75">
      <c r="A68" s="279"/>
      <c r="B68" s="279"/>
      <c r="C68" s="279"/>
      <c r="D68" s="279"/>
      <c r="E68" s="48"/>
      <c r="F68" s="48"/>
      <c r="G68" s="48"/>
      <c r="H68" s="48"/>
      <c r="I68" s="48"/>
      <c r="J68" s="48"/>
      <c r="K68" s="48"/>
      <c r="L68" s="48"/>
      <c r="M68" s="279"/>
      <c r="N68" s="279"/>
      <c r="O68" s="279"/>
      <c r="P68" s="279"/>
    </row>
    <row r="69" spans="1:17" ht="15.75" hidden="1" customHeight="1">
      <c r="A69" s="47"/>
      <c r="B69" s="206"/>
      <c r="C69" s="206"/>
      <c r="D69" s="206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</row>
    <row r="70" spans="1:17" ht="15.75" hidden="1" customHeight="1">
      <c r="A70" s="47"/>
      <c r="B70" s="206"/>
      <c r="C70" s="206"/>
      <c r="D70" s="206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</row>
    <row r="71" spans="1:17" ht="24" hidden="1" customHeight="1">
      <c r="A71" s="47"/>
      <c r="B71" s="206"/>
      <c r="C71" s="206"/>
      <c r="D71" s="206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</row>
    <row r="72" spans="1:17" ht="15.75" hidden="1" customHeight="1">
      <c r="A72" s="47"/>
      <c r="B72" s="48"/>
      <c r="C72" s="48"/>
      <c r="D72" s="48"/>
      <c r="E72" s="48"/>
      <c r="F72" s="48"/>
      <c r="G72" s="48"/>
      <c r="H72" s="48"/>
      <c r="I72" s="48"/>
      <c r="J72" s="48"/>
      <c r="K72" s="184"/>
      <c r="L72" s="184"/>
      <c r="M72" s="184"/>
      <c r="N72" s="184"/>
      <c r="O72" s="184"/>
      <c r="P72" s="184"/>
    </row>
    <row r="73" spans="1:17" ht="15.75" hidden="1" customHeight="1">
      <c r="A73" s="47"/>
      <c r="B73" s="48"/>
      <c r="C73" s="48"/>
      <c r="D73" s="48"/>
      <c r="E73" s="48"/>
      <c r="F73" s="48"/>
      <c r="G73" s="48"/>
      <c r="H73" s="48"/>
      <c r="I73" s="48"/>
      <c r="J73" s="48"/>
      <c r="K73" s="184"/>
      <c r="L73" s="184"/>
      <c r="M73" s="184"/>
      <c r="N73" s="184"/>
      <c r="O73" s="184"/>
      <c r="P73" s="184"/>
    </row>
    <row r="74" spans="1:17" ht="15.75" hidden="1" customHeight="1">
      <c r="A74" s="47"/>
      <c r="B74" s="48"/>
      <c r="C74" s="48"/>
      <c r="D74" s="48"/>
      <c r="E74" s="48"/>
      <c r="F74" s="48"/>
      <c r="G74" s="48"/>
      <c r="H74" s="48"/>
      <c r="I74" s="48"/>
      <c r="J74" s="48"/>
      <c r="K74" s="184"/>
      <c r="L74" s="184"/>
      <c r="M74" s="184"/>
      <c r="N74" s="184"/>
      <c r="O74" s="184"/>
      <c r="P74" s="184"/>
    </row>
    <row r="75" spans="1:17" ht="15.75" hidden="1" customHeight="1">
      <c r="A75" s="47"/>
      <c r="B75" s="48"/>
      <c r="C75" s="48"/>
      <c r="D75" s="48"/>
      <c r="E75" s="48"/>
      <c r="F75" s="48"/>
      <c r="G75" s="48"/>
      <c r="H75" s="48"/>
      <c r="I75" s="48"/>
      <c r="J75" s="48"/>
      <c r="K75" s="184"/>
      <c r="L75" s="184"/>
      <c r="M75" s="184"/>
      <c r="N75" s="184"/>
      <c r="O75" s="184"/>
      <c r="P75" s="184"/>
    </row>
    <row r="76" spans="1:17" ht="15.75" hidden="1" customHeight="1">
      <c r="A76" s="47"/>
      <c r="B76" s="48"/>
      <c r="C76" s="48"/>
      <c r="D76" s="48"/>
      <c r="E76" s="48"/>
      <c r="F76" s="48"/>
      <c r="G76" s="48"/>
      <c r="H76" s="48"/>
      <c r="I76" s="48"/>
      <c r="J76" s="48"/>
      <c r="K76" s="184"/>
      <c r="L76" s="184"/>
      <c r="M76" s="184"/>
      <c r="N76" s="184"/>
      <c r="O76" s="184"/>
      <c r="P76" s="184"/>
    </row>
    <row r="77" spans="1:17" ht="15.75" hidden="1">
      <c r="A77" s="47"/>
      <c r="B77" s="48"/>
      <c r="C77" s="263"/>
      <c r="D77" s="263"/>
      <c r="E77" s="263"/>
      <c r="F77" s="263"/>
      <c r="G77" s="263"/>
      <c r="H77" s="263"/>
      <c r="I77" s="263"/>
      <c r="J77" s="48"/>
      <c r="K77" s="184"/>
      <c r="L77" s="184"/>
      <c r="M77" s="184"/>
      <c r="N77" s="184"/>
      <c r="O77" s="184"/>
      <c r="P77" s="184"/>
    </row>
    <row r="78" spans="1:17" ht="15.75" hidden="1">
      <c r="A78" s="47"/>
      <c r="B78" s="48"/>
      <c r="C78" s="48"/>
      <c r="D78" s="48"/>
      <c r="E78" s="48"/>
      <c r="F78" s="48"/>
      <c r="G78" s="48"/>
      <c r="H78" s="48"/>
      <c r="I78" s="48"/>
      <c r="J78" s="48"/>
      <c r="K78" s="184"/>
      <c r="L78" s="184"/>
      <c r="M78" s="184"/>
      <c r="N78" s="184"/>
      <c r="O78" s="184"/>
      <c r="P78" s="184"/>
    </row>
    <row r="79" spans="1:17" ht="15.75" hidden="1">
      <c r="A79" s="50"/>
      <c r="B79" s="51"/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2"/>
      <c r="P79" s="53"/>
      <c r="Q79" s="30"/>
    </row>
    <row r="80" spans="1:17" ht="15.75" hidden="1">
      <c r="A80" s="50"/>
      <c r="B80" s="51"/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2"/>
      <c r="P80" s="53"/>
      <c r="Q80" s="30"/>
    </row>
    <row r="81" spans="1:17" ht="15.75" hidden="1">
      <c r="A81" s="50"/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2"/>
      <c r="P81" s="53"/>
      <c r="Q81" s="30"/>
    </row>
    <row r="82" spans="1:17" ht="15.75" hidden="1">
      <c r="A82" s="47"/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54"/>
      <c r="P82" s="49"/>
    </row>
    <row r="83" spans="1:17" ht="15.75" hidden="1">
      <c r="A83" s="47"/>
      <c r="B83" s="48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48"/>
      <c r="O83" s="54"/>
      <c r="P83" s="49"/>
    </row>
    <row r="84" spans="1:17" ht="15.75" hidden="1">
      <c r="A84" s="47"/>
      <c r="B84" s="48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O84" s="54"/>
      <c r="P84" s="49"/>
    </row>
    <row r="85" spans="1:17" ht="15.75" hidden="1"/>
    <row r="86" spans="1:17" ht="15.75" customHeight="1"/>
    <row r="87" spans="1:17" ht="15.75" customHeight="1"/>
  </sheetData>
  <sheetProtection algorithmName="SHA-512" hashValue="gGo8FvzMm8FbX9aExTT+/ggbezz6o4glosiGtpYpegOOuJs74MSXIwklAujBWMqwbEc2eM2Joj2JnPUCbWieSA==" saltValue="y35DdiO4VzEF9JE8u2to0g==" spinCount="100000" sheet="1" objects="1" scenarios="1"/>
  <mergeCells count="134">
    <mergeCell ref="B51:D51"/>
    <mergeCell ref="E51:F51"/>
    <mergeCell ref="G51:I51"/>
    <mergeCell ref="K51:M51"/>
    <mergeCell ref="E54:F54"/>
    <mergeCell ref="G54:I54"/>
    <mergeCell ref="K54:M54"/>
    <mergeCell ref="B54:D54"/>
    <mergeCell ref="B52:D52"/>
    <mergeCell ref="E52:F52"/>
    <mergeCell ref="G52:I52"/>
    <mergeCell ref="K52:M52"/>
    <mergeCell ref="B67:E67"/>
    <mergeCell ref="L67:O67"/>
    <mergeCell ref="A68:D68"/>
    <mergeCell ref="M68:P68"/>
    <mergeCell ref="B69:P71"/>
    <mergeCell ref="K72:P78"/>
    <mergeCell ref="C77:I77"/>
    <mergeCell ref="O63:P63"/>
    <mergeCell ref="E64:H64"/>
    <mergeCell ref="I64:J64"/>
    <mergeCell ref="L64:M64"/>
    <mergeCell ref="O64:P64"/>
    <mergeCell ref="A65:N65"/>
    <mergeCell ref="B62:N62"/>
    <mergeCell ref="A63:A64"/>
    <mergeCell ref="B63:D64"/>
    <mergeCell ref="E63:H63"/>
    <mergeCell ref="I63:J63"/>
    <mergeCell ref="L63:M63"/>
    <mergeCell ref="B56:N56"/>
    <mergeCell ref="B57:N57"/>
    <mergeCell ref="B58:N58"/>
    <mergeCell ref="B59:N59"/>
    <mergeCell ref="B60:N60"/>
    <mergeCell ref="B61:N61"/>
    <mergeCell ref="B44:N44"/>
    <mergeCell ref="B45:N45"/>
    <mergeCell ref="B46:N46"/>
    <mergeCell ref="A47:A60"/>
    <mergeCell ref="B47:P47"/>
    <mergeCell ref="B48:F48"/>
    <mergeCell ref="G48:J48"/>
    <mergeCell ref="K48:N48"/>
    <mergeCell ref="B55:D55"/>
    <mergeCell ref="E55:F55"/>
    <mergeCell ref="G55:I55"/>
    <mergeCell ref="K55:M55"/>
    <mergeCell ref="B49:D49"/>
    <mergeCell ref="E49:F49"/>
    <mergeCell ref="G49:I49"/>
    <mergeCell ref="K49:M49"/>
    <mergeCell ref="B53:D53"/>
    <mergeCell ref="E53:F53"/>
    <mergeCell ref="G53:I53"/>
    <mergeCell ref="K53:M53"/>
    <mergeCell ref="B50:D50"/>
    <mergeCell ref="E50:F50"/>
    <mergeCell ref="G50:I50"/>
    <mergeCell ref="K50:M50"/>
    <mergeCell ref="A34:A43"/>
    <mergeCell ref="B34:P34"/>
    <mergeCell ref="B35:N35"/>
    <mergeCell ref="B36:N36"/>
    <mergeCell ref="B37:N37"/>
    <mergeCell ref="B38:N38"/>
    <mergeCell ref="B39:N39"/>
    <mergeCell ref="B40:N40"/>
    <mergeCell ref="B41:N41"/>
    <mergeCell ref="B42:N42"/>
    <mergeCell ref="B43:N43"/>
    <mergeCell ref="B31:N31"/>
    <mergeCell ref="B32:N32"/>
    <mergeCell ref="C25:F25"/>
    <mergeCell ref="J25:L25"/>
    <mergeCell ref="C26:F26"/>
    <mergeCell ref="J26:L26"/>
    <mergeCell ref="C27:F27"/>
    <mergeCell ref="J27:L27"/>
    <mergeCell ref="B33:N33"/>
    <mergeCell ref="C24:F24"/>
    <mergeCell ref="J24:L24"/>
    <mergeCell ref="B16:N16"/>
    <mergeCell ref="B17:N17"/>
    <mergeCell ref="A18:A30"/>
    <mergeCell ref="B18:P18"/>
    <mergeCell ref="B19:P19"/>
    <mergeCell ref="C20:F20"/>
    <mergeCell ref="J20:L20"/>
    <mergeCell ref="C21:F21"/>
    <mergeCell ref="J21:L21"/>
    <mergeCell ref="C28:F28"/>
    <mergeCell ref="J28:L28"/>
    <mergeCell ref="B29:L29"/>
    <mergeCell ref="B30:N30"/>
    <mergeCell ref="B14:N14"/>
    <mergeCell ref="B15:N15"/>
    <mergeCell ref="A11:A13"/>
    <mergeCell ref="B11:I11"/>
    <mergeCell ref="J11:K11"/>
    <mergeCell ref="L11:N11"/>
    <mergeCell ref="C22:F22"/>
    <mergeCell ref="J22:L22"/>
    <mergeCell ref="C23:F23"/>
    <mergeCell ref="J23:L23"/>
    <mergeCell ref="O11:P13"/>
    <mergeCell ref="B12:C13"/>
    <mergeCell ref="D12:F12"/>
    <mergeCell ref="G12:I12"/>
    <mergeCell ref="J12:K12"/>
    <mergeCell ref="L12:N12"/>
    <mergeCell ref="O7:P8"/>
    <mergeCell ref="B8:K8"/>
    <mergeCell ref="L8:N8"/>
    <mergeCell ref="B9:K9"/>
    <mergeCell ref="L9:N9"/>
    <mergeCell ref="B10:N10"/>
    <mergeCell ref="D13:F13"/>
    <mergeCell ref="G13:I13"/>
    <mergeCell ref="J13:K13"/>
    <mergeCell ref="L13:N13"/>
    <mergeCell ref="B4:N4"/>
    <mergeCell ref="B5:N5"/>
    <mergeCell ref="B6:N6"/>
    <mergeCell ref="A7:A9"/>
    <mergeCell ref="B7:K7"/>
    <mergeCell ref="L7:N7"/>
    <mergeCell ref="A1:P1"/>
    <mergeCell ref="A2:P2"/>
    <mergeCell ref="B3:C3"/>
    <mergeCell ref="D3:I3"/>
    <mergeCell ref="K3:M3"/>
    <mergeCell ref="O3:P3"/>
  </mergeCells>
  <printOptions horizontalCentered="1"/>
  <pageMargins left="0.39370078740157499" right="0.23622047244094499" top="0.23622047244094499" bottom="0.27559055118110198" header="0.196850393700787" footer="0.23622047244094499"/>
  <pageSetup paperSize="9" scale="72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Salary</vt:lpstr>
      <vt:lpstr>Other Deduction</vt:lpstr>
      <vt:lpstr>Tax Old Regime</vt:lpstr>
      <vt:lpstr>Tax New Regime</vt:lpstr>
      <vt:lpstr>Salary!Print_Area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abc</cp:lastModifiedBy>
  <cp:lastPrinted>2024-01-06T09:55:08Z</cp:lastPrinted>
  <dcterms:created xsi:type="dcterms:W3CDTF">2013-12-06T08:14:36Z</dcterms:created>
  <dcterms:modified xsi:type="dcterms:W3CDTF">2026-02-15T11:25:45Z</dcterms:modified>
</cp:coreProperties>
</file>