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Income Tax &amp; Other Excel Software 2024-25\"/>
    </mc:Choice>
  </mc:AlternateContent>
  <xr:revisionPtr revIDLastSave="0" documentId="13_ncr:1_{6A5E006B-D6E9-4EB5-94B6-56EC5E82394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alary Seet" sheetId="2" r:id="rId1"/>
    <sheet name="Other Deduction" sheetId="1" r:id="rId2"/>
    <sheet name="Tax Old Regime" sheetId="3" r:id="rId3"/>
    <sheet name="Tax New Regime" sheetId="5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'Salary Seet'!$C$66:$AB$99</definedName>
    <definedName name="_xlnm.Print_Area" localSheetId="3">'Tax New Regime'!$A$1:$P$68</definedName>
    <definedName name="_xlnm.Print_Area" localSheetId="2">'Tax Old Regime'!$A$1:$P$67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'Salary Seet'!$AC:$XFD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'Salary Seet'!$C$66:$AB$97</definedName>
    <definedName name="Z_01E6FF9C_BB30_4C32_9D09_6DB93F11503E_.wvu.PrintArea" localSheetId="3" hidden="1">'Tax New Regime'!$A$1:$P$72</definedName>
    <definedName name="Z_01E6FF9C_BB30_4C32_9D09_6DB93F11503E_.wvu.PrintArea" localSheetId="2" hidden="1">'Tax Old Regime'!$A$1:$P$71</definedName>
    <definedName name="Z_01E6FF9C_BB30_4C32_9D09_6DB93F11503E_.wvu.Rows" localSheetId="1" hidden="1">'Other Deduction'!$561:$1048576,'Other Deduction'!$23:$560</definedName>
    <definedName name="Z_01E6FF9C_BB30_4C32_9D09_6DB93F11503E_.wvu.Rows" localSheetId="0" hidden="1">'Salary Seet'!$1010:$1048576,'Salary Seet'!$98:$1009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Regime'!$77:$1048576,'Tax Old Regime'!$73:$76</definedName>
    <definedName name="Z_483AFC7C_A53B_4837_A853_31CBC6C9ED1B_.wvu.Cols" localSheetId="1" hidden="1">'Other Deduction'!$G:$XFD</definedName>
    <definedName name="Z_483AFC7C_A53B_4837_A853_31CBC6C9ED1B_.wvu.Cols" localSheetId="0" hidden="1">'Salary Seet'!$AC:$XFD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'Salary Seet'!$C$66:$AB$97</definedName>
    <definedName name="Z_483AFC7C_A53B_4837_A853_31CBC6C9ED1B_.wvu.PrintArea" localSheetId="3" hidden="1">'Tax New Regime'!$A$1:$P$72</definedName>
    <definedName name="Z_483AFC7C_A53B_4837_A853_31CBC6C9ED1B_.wvu.PrintArea" localSheetId="2" hidden="1">'Tax Old Regime'!$A$1:$P$71</definedName>
    <definedName name="Z_483AFC7C_A53B_4837_A853_31CBC6C9ED1B_.wvu.Rows" localSheetId="1" hidden="1">'Other Deduction'!$561:$1048576,'Other Deduction'!$23:$560</definedName>
    <definedName name="Z_483AFC7C_A53B_4837_A853_31CBC6C9ED1B_.wvu.Rows" localSheetId="0" hidden="1">'Salary Seet'!$1010:$1048576,'Salary Seet'!$98:$1009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Regime'!$77:$1048576,'Tax Old Regime'!$73:$76</definedName>
  </definedNames>
  <calcPr calcId="19102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2" i="2" l="1"/>
  <c r="H84" i="2" l="1"/>
  <c r="H72" i="2"/>
  <c r="I72" i="2"/>
  <c r="P84" i="2" l="1"/>
  <c r="Z86" i="2"/>
  <c r="Z87" i="2"/>
  <c r="Z89" i="2"/>
  <c r="Z90" i="2"/>
  <c r="Z91" i="2"/>
  <c r="P72" i="2"/>
  <c r="Q84" i="2" l="1"/>
  <c r="Z84" i="2" s="1"/>
  <c r="Q72" i="2"/>
  <c r="Z72" i="2" s="1"/>
  <c r="P88" i="2"/>
  <c r="Z88" i="2"/>
  <c r="P42" i="5"/>
  <c r="D86" i="2"/>
  <c r="O86" i="2" s="1"/>
  <c r="O87" i="2"/>
  <c r="O88" i="2"/>
  <c r="O89" i="2"/>
  <c r="O90" i="2"/>
  <c r="O91" i="2"/>
  <c r="P43" i="3"/>
  <c r="P45" i="3"/>
  <c r="P6" i="3"/>
  <c r="S5" i="2" l="1"/>
  <c r="S6" i="2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4" i="2"/>
  <c r="AB5" i="2" s="1"/>
  <c r="M84" i="2" s="1"/>
  <c r="P71" i="2"/>
  <c r="E73" i="2"/>
  <c r="F73" i="2"/>
  <c r="G73" i="2"/>
  <c r="J73" i="2"/>
  <c r="K73" i="2"/>
  <c r="L73" i="2"/>
  <c r="N73" i="2"/>
  <c r="R73" i="2"/>
  <c r="S73" i="2"/>
  <c r="T73" i="2"/>
  <c r="U73" i="2"/>
  <c r="V73" i="2"/>
  <c r="W73" i="2"/>
  <c r="X73" i="2"/>
  <c r="Y73" i="2"/>
  <c r="E74" i="2"/>
  <c r="F74" i="2"/>
  <c r="G74" i="2"/>
  <c r="J74" i="2"/>
  <c r="K74" i="2"/>
  <c r="L74" i="2"/>
  <c r="N74" i="2"/>
  <c r="V74" i="2"/>
  <c r="V75" i="2" s="1"/>
  <c r="V76" i="2" s="1"/>
  <c r="V77" i="2" s="1"/>
  <c r="V78" i="2" s="1"/>
  <c r="V79" i="2" s="1"/>
  <c r="V80" i="2" s="1"/>
  <c r="V81" i="2" s="1"/>
  <c r="V82" i="2" s="1"/>
  <c r="V83" i="2" s="1"/>
  <c r="E75" i="2"/>
  <c r="F75" i="2"/>
  <c r="G75" i="2"/>
  <c r="J75" i="2"/>
  <c r="K75" i="2"/>
  <c r="L75" i="2"/>
  <c r="N75" i="2"/>
  <c r="E76" i="2"/>
  <c r="F76" i="2"/>
  <c r="G76" i="2"/>
  <c r="J76" i="2"/>
  <c r="K76" i="2"/>
  <c r="L76" i="2"/>
  <c r="N76" i="2"/>
  <c r="E77" i="2"/>
  <c r="F77" i="2"/>
  <c r="G77" i="2"/>
  <c r="J77" i="2"/>
  <c r="K77" i="2"/>
  <c r="L77" i="2"/>
  <c r="N77" i="2"/>
  <c r="E78" i="2"/>
  <c r="F78" i="2"/>
  <c r="G78" i="2"/>
  <c r="J78" i="2"/>
  <c r="K78" i="2"/>
  <c r="L78" i="2"/>
  <c r="N78" i="2"/>
  <c r="E79" i="2"/>
  <c r="F79" i="2"/>
  <c r="G79" i="2"/>
  <c r="J79" i="2"/>
  <c r="K79" i="2"/>
  <c r="L79" i="2"/>
  <c r="N79" i="2"/>
  <c r="E80" i="2"/>
  <c r="F80" i="2"/>
  <c r="G80" i="2"/>
  <c r="J80" i="2"/>
  <c r="K80" i="2"/>
  <c r="L80" i="2"/>
  <c r="N80" i="2"/>
  <c r="E81" i="2"/>
  <c r="F81" i="2"/>
  <c r="G81" i="2"/>
  <c r="J81" i="2"/>
  <c r="K81" i="2"/>
  <c r="L81" i="2"/>
  <c r="N81" i="2"/>
  <c r="E82" i="2"/>
  <c r="F82" i="2"/>
  <c r="G82" i="2"/>
  <c r="J82" i="2"/>
  <c r="K82" i="2"/>
  <c r="L82" i="2"/>
  <c r="N82" i="2"/>
  <c r="E83" i="2"/>
  <c r="F83" i="2"/>
  <c r="G83" i="2"/>
  <c r="J83" i="2"/>
  <c r="K83" i="2"/>
  <c r="L83" i="2"/>
  <c r="N83" i="2"/>
  <c r="T74" i="2" l="1"/>
  <c r="T75" i="2" s="1"/>
  <c r="T76" i="2" s="1"/>
  <c r="T77" i="2" s="1"/>
  <c r="T78" i="2" s="1"/>
  <c r="T79" i="2" s="1"/>
  <c r="T80" i="2" s="1"/>
  <c r="T81" i="2" s="1"/>
  <c r="T82" i="2" s="1"/>
  <c r="T83" i="2" s="1"/>
  <c r="T92" i="2"/>
  <c r="F92" i="2"/>
  <c r="W74" i="2"/>
  <c r="W75" i="2" s="1"/>
  <c r="W76" i="2" s="1"/>
  <c r="W77" i="2" s="1"/>
  <c r="W78" i="2" s="1"/>
  <c r="W79" i="2" s="1"/>
  <c r="W80" i="2" s="1"/>
  <c r="W81" i="2" s="1"/>
  <c r="W82" i="2" s="1"/>
  <c r="W83" i="2" s="1"/>
  <c r="S74" i="2"/>
  <c r="S75" i="2" s="1"/>
  <c r="S76" i="2" s="1"/>
  <c r="S77" i="2" s="1"/>
  <c r="S78" i="2" s="1"/>
  <c r="S79" i="2" s="1"/>
  <c r="S80" i="2" s="1"/>
  <c r="S81" i="2" s="1"/>
  <c r="S82" i="2" s="1"/>
  <c r="S83" i="2" s="1"/>
  <c r="S92" i="2"/>
  <c r="K92" i="2"/>
  <c r="Y74" i="2"/>
  <c r="Y75" i="2" s="1"/>
  <c r="Y76" i="2" s="1"/>
  <c r="Y77" i="2" s="1"/>
  <c r="Y78" i="2" s="1"/>
  <c r="Y79" i="2" s="1"/>
  <c r="Y80" i="2" s="1"/>
  <c r="Y92" i="2"/>
  <c r="N92" i="2"/>
  <c r="G92" i="2"/>
  <c r="X74" i="2"/>
  <c r="X75" i="2" s="1"/>
  <c r="X76" i="2" s="1"/>
  <c r="X77" i="2" s="1"/>
  <c r="X78" i="2" s="1"/>
  <c r="X79" i="2" s="1"/>
  <c r="X80" i="2" s="1"/>
  <c r="X81" i="2" s="1"/>
  <c r="X82" i="2" s="1"/>
  <c r="X83" i="2" s="1"/>
  <c r="L92" i="2"/>
  <c r="V92" i="2"/>
  <c r="R74" i="2"/>
  <c r="R75" i="2" s="1"/>
  <c r="R76" i="2" s="1"/>
  <c r="R77" i="2" s="1"/>
  <c r="R78" i="2" s="1"/>
  <c r="R79" i="2" s="1"/>
  <c r="R80" i="2" s="1"/>
  <c r="R81" i="2" s="1"/>
  <c r="R82" i="2" s="1"/>
  <c r="R83" i="2" s="1"/>
  <c r="J92" i="2"/>
  <c r="U74" i="2"/>
  <c r="U75" i="2" s="1"/>
  <c r="U76" i="2" s="1"/>
  <c r="U77" i="2" s="1"/>
  <c r="U78" i="2" s="1"/>
  <c r="U79" i="2" s="1"/>
  <c r="U80" i="2" s="1"/>
  <c r="U81" i="2" s="1"/>
  <c r="U82" i="2" s="1"/>
  <c r="U83" i="2" s="1"/>
  <c r="M82" i="2"/>
  <c r="M80" i="2"/>
  <c r="M75" i="2"/>
  <c r="M77" i="2"/>
  <c r="M73" i="2"/>
  <c r="M79" i="2"/>
  <c r="M81" i="2"/>
  <c r="M83" i="2"/>
  <c r="M74" i="2"/>
  <c r="M76" i="2"/>
  <c r="M78" i="2"/>
  <c r="M72" i="2"/>
  <c r="E92" i="2"/>
  <c r="O84" i="2"/>
  <c r="M85" i="2"/>
  <c r="D73" i="2"/>
  <c r="D76" i="2"/>
  <c r="R92" i="2" l="1"/>
  <c r="X92" i="2"/>
  <c r="U92" i="2"/>
  <c r="W92" i="2"/>
  <c r="H85" i="2"/>
  <c r="H76" i="2"/>
  <c r="P76" i="2" s="1"/>
  <c r="I76" i="2"/>
  <c r="I73" i="2"/>
  <c r="H73" i="2"/>
  <c r="P73" i="2" s="1"/>
  <c r="M92" i="2"/>
  <c r="O85" i="2"/>
  <c r="D74" i="2"/>
  <c r="O72" i="2"/>
  <c r="AA72" i="2" s="1"/>
  <c r="D77" i="2"/>
  <c r="L10" i="3" l="1"/>
  <c r="L9" i="5"/>
  <c r="Q73" i="2"/>
  <c r="Z73" i="2" s="1"/>
  <c r="Q76" i="2"/>
  <c r="Z76" i="2" s="1"/>
  <c r="O73" i="2"/>
  <c r="P85" i="2"/>
  <c r="Q85" i="2"/>
  <c r="Z85" i="2" s="1"/>
  <c r="H74" i="2"/>
  <c r="P74" i="2" s="1"/>
  <c r="I74" i="2"/>
  <c r="H77" i="2"/>
  <c r="I77" i="2"/>
  <c r="D78" i="2"/>
  <c r="D79" i="2" s="1"/>
  <c r="O76" i="2"/>
  <c r="D75" i="2"/>
  <c r="O77" i="2" l="1"/>
  <c r="Q74" i="2"/>
  <c r="Z74" i="2" s="1"/>
  <c r="Q77" i="2"/>
  <c r="Z77" i="2" s="1"/>
  <c r="P77" i="2"/>
  <c r="H79" i="2"/>
  <c r="P79" i="2" s="1"/>
  <c r="I79" i="2"/>
  <c r="Q79" i="2"/>
  <c r="Z79" i="2" s="1"/>
  <c r="H78" i="2"/>
  <c r="P78" i="2" s="1"/>
  <c r="I78" i="2"/>
  <c r="H75" i="2"/>
  <c r="P75" i="2" s="1"/>
  <c r="I75" i="2"/>
  <c r="AA76" i="2"/>
  <c r="AA73" i="2"/>
  <c r="O74" i="2"/>
  <c r="D80" i="2"/>
  <c r="AA84" i="2"/>
  <c r="Q78" i="2" l="1"/>
  <c r="Z78" i="2" s="1"/>
  <c r="Q75" i="2"/>
  <c r="Z75" i="2" s="1"/>
  <c r="O79" i="2"/>
  <c r="AA79" i="2" s="1"/>
  <c r="O78" i="2"/>
  <c r="I80" i="2"/>
  <c r="H80" i="2"/>
  <c r="P80" i="2" s="1"/>
  <c r="AA77" i="2"/>
  <c r="AA74" i="2"/>
  <c r="AA85" i="2"/>
  <c r="O75" i="2"/>
  <c r="D81" i="2"/>
  <c r="Q80" i="2" l="1"/>
  <c r="Z80" i="2" s="1"/>
  <c r="H81" i="2"/>
  <c r="Q81" i="2" s="1"/>
  <c r="Z81" i="2" s="1"/>
  <c r="I81" i="2"/>
  <c r="AA75" i="2"/>
  <c r="AA78" i="2"/>
  <c r="O80" i="2"/>
  <c r="D82" i="2"/>
  <c r="P81" i="2" l="1"/>
  <c r="I82" i="2"/>
  <c r="H82" i="2"/>
  <c r="Q82" i="2" s="1"/>
  <c r="Z82" i="2" s="1"/>
  <c r="P82" i="2"/>
  <c r="AA80" i="2"/>
  <c r="O81" i="2"/>
  <c r="D83" i="2"/>
  <c r="I83" i="2" l="1"/>
  <c r="I92" i="2" s="1"/>
  <c r="H83" i="2"/>
  <c r="P83" i="2" s="1"/>
  <c r="H92" i="2"/>
  <c r="D92" i="2"/>
  <c r="O82" i="2"/>
  <c r="Q83" i="2" l="1"/>
  <c r="Z83" i="2" s="1"/>
  <c r="AA82" i="2"/>
  <c r="AA81" i="2"/>
  <c r="P92" i="2"/>
  <c r="O83" i="2"/>
  <c r="Q92" i="2" l="1"/>
  <c r="P32" i="5"/>
  <c r="P33" i="3"/>
  <c r="O92" i="2"/>
  <c r="P4" i="5" s="1"/>
  <c r="A2" i="1"/>
  <c r="N65" i="5"/>
  <c r="P62" i="5"/>
  <c r="P43" i="5"/>
  <c r="P41" i="5"/>
  <c r="P40" i="5"/>
  <c r="P39" i="5"/>
  <c r="P38" i="5"/>
  <c r="P37" i="5"/>
  <c r="P36" i="5"/>
  <c r="H29" i="5"/>
  <c r="N28" i="5"/>
  <c r="H28" i="5"/>
  <c r="N27" i="5"/>
  <c r="N26" i="5"/>
  <c r="N25" i="5"/>
  <c r="H25" i="5"/>
  <c r="N24" i="5"/>
  <c r="H24" i="5"/>
  <c r="N23" i="5"/>
  <c r="H23" i="5"/>
  <c r="N22" i="5"/>
  <c r="N21" i="5"/>
  <c r="P17" i="5"/>
  <c r="J14" i="5"/>
  <c r="L12" i="5"/>
  <c r="D14" i="5" s="1"/>
  <c r="L8" i="5"/>
  <c r="L7" i="5"/>
  <c r="O3" i="5"/>
  <c r="K3" i="5"/>
  <c r="D3" i="5"/>
  <c r="A1" i="5"/>
  <c r="O3" i="3"/>
  <c r="K3" i="3"/>
  <c r="D3" i="3"/>
  <c r="AA83" i="2" l="1"/>
  <c r="H30" i="3"/>
  <c r="H26" i="3" l="1"/>
  <c r="P34" i="3"/>
  <c r="L9" i="3" l="1"/>
  <c r="Z92" i="2" l="1"/>
  <c r="N23" i="3" l="1"/>
  <c r="N27" i="3"/>
  <c r="N29" i="3"/>
  <c r="N28" i="3"/>
  <c r="N26" i="3"/>
  <c r="N25" i="3"/>
  <c r="N24" i="3"/>
  <c r="N22" i="3"/>
  <c r="P61" i="3" l="1"/>
  <c r="P41" i="3"/>
  <c r="P40" i="3"/>
  <c r="P39" i="3"/>
  <c r="P38" i="3"/>
  <c r="P37" i="3"/>
  <c r="P44" i="3"/>
  <c r="P42" i="3"/>
  <c r="P18" i="3"/>
  <c r="P46" i="3" l="1"/>
  <c r="N64" i="3"/>
  <c r="AA90" i="2"/>
  <c r="AA91" i="2"/>
  <c r="AA88" i="2"/>
  <c r="AA89" i="2"/>
  <c r="AA86" i="2" l="1"/>
  <c r="L8" i="3" l="1"/>
  <c r="H29" i="3"/>
  <c r="H25" i="3"/>
  <c r="H24" i="3"/>
  <c r="J15" i="3"/>
  <c r="L13" i="3"/>
  <c r="D15" i="3" s="1"/>
  <c r="P5" i="3"/>
  <c r="A1" i="3"/>
  <c r="AA87" i="2" l="1"/>
  <c r="AA92" i="2" s="1"/>
  <c r="H22" i="5" l="1"/>
  <c r="G14" i="5"/>
  <c r="L14" i="5" s="1"/>
  <c r="P15" i="5" s="1"/>
  <c r="H27" i="5"/>
  <c r="H28" i="3" l="1"/>
  <c r="H23" i="3"/>
  <c r="G15" i="3"/>
  <c r="L15" i="3" s="1"/>
  <c r="P16" i="3" s="1"/>
  <c r="E65" i="5" l="1"/>
  <c r="E64" i="3" l="1"/>
  <c r="I65" i="5" l="1"/>
  <c r="K65" i="5" l="1"/>
  <c r="I64" i="3"/>
  <c r="L65" i="5" l="1"/>
  <c r="O65" i="5" s="1"/>
  <c r="K64" i="3"/>
  <c r="F20" i="1"/>
  <c r="F8" i="1" l="1"/>
  <c r="L64" i="3"/>
  <c r="O64" i="3" s="1"/>
  <c r="F4" i="1"/>
  <c r="F17" i="1" l="1"/>
  <c r="P34" i="5" l="1"/>
  <c r="P45" i="5" s="1"/>
  <c r="H21" i="5"/>
  <c r="P6" i="5"/>
  <c r="L10" i="5" s="1"/>
  <c r="H26" i="5"/>
  <c r="H27" i="3"/>
  <c r="H22" i="3"/>
  <c r="P4" i="3"/>
  <c r="P7" i="3" s="1"/>
  <c r="P10" i="5" l="1"/>
  <c r="N30" i="5"/>
  <c r="N31" i="3"/>
  <c r="P32" i="3" s="1"/>
  <c r="P35" i="3" s="1"/>
  <c r="P47" i="3" s="1"/>
  <c r="P11" i="3"/>
  <c r="P12" i="3" s="1"/>
  <c r="P17" i="3" s="1"/>
  <c r="P19" i="3" s="1"/>
  <c r="P11" i="5" l="1"/>
  <c r="P16" i="5" s="1"/>
  <c r="P18" i="5" s="1"/>
  <c r="P46" i="5" s="1"/>
  <c r="F12" i="1"/>
  <c r="A21" i="1"/>
  <c r="D21" i="1"/>
  <c r="P48" i="3"/>
  <c r="P49" i="3" s="1"/>
  <c r="P53" i="3" s="1"/>
  <c r="P47" i="5" l="1"/>
  <c r="P54" i="3"/>
  <c r="F6" i="1"/>
  <c r="P55" i="3"/>
  <c r="P56" i="5" l="1"/>
  <c r="P55" i="5"/>
  <c r="P54" i="5"/>
  <c r="P53" i="5"/>
  <c r="P52" i="5"/>
  <c r="P51" i="5"/>
  <c r="P56" i="3"/>
  <c r="P57" i="3" s="1"/>
  <c r="P57" i="5" l="1"/>
  <c r="P58" i="3"/>
  <c r="P59" i="3" s="1"/>
  <c r="P58" i="5" l="1"/>
  <c r="P59" i="5" s="1"/>
  <c r="P60" i="5" s="1"/>
  <c r="P61" i="5" s="1"/>
  <c r="P63" i="5" s="1"/>
  <c r="A66" i="5" s="1"/>
  <c r="P60" i="3"/>
  <c r="P66" i="5" l="1"/>
  <c r="P62" i="3"/>
  <c r="A65" i="3" l="1"/>
  <c r="A20" i="1" s="1"/>
  <c r="P65" i="3"/>
  <c r="D20" i="1" s="1"/>
</calcChain>
</file>

<file path=xl/sharedStrings.xml><?xml version="1.0" encoding="utf-8"?>
<sst xmlns="http://schemas.openxmlformats.org/spreadsheetml/2006/main" count="578" uniqueCount="236">
  <si>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</si>
  <si>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</si>
  <si>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</si>
  <si>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</si>
  <si>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</si>
  <si>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</si>
  <si>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</si>
  <si>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</si>
  <si>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</si>
  <si>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</si>
  <si>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</si>
  <si>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</si>
  <si>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</si>
  <si>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</si>
  <si>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</si>
  <si>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</si>
  <si>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</si>
  <si>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</si>
  <si>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 xml:space="preserve">                                                              'ks"k ¼2&amp;3½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</si>
  <si>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</si>
  <si>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</si>
  <si>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</si>
  <si>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</si>
  <si>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</si>
  <si>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</si>
  <si>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</si>
  <si>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</si>
  <si>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</si>
  <si>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</si>
  <si>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</si>
  <si>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</si>
  <si>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Total
Deduction</t>
  </si>
  <si>
    <t>Gross  Salary</t>
  </si>
  <si>
    <t>Washing Allow.</t>
  </si>
  <si>
    <t>3,00,001-5,00,000</t>
  </si>
  <si>
    <t>Rebate Under Section
80C, 80CCC, 80CCD(1)</t>
  </si>
  <si>
    <t>No</t>
  </si>
  <si>
    <t>HRA</t>
  </si>
  <si>
    <t>Salary Arrear 1</t>
  </si>
  <si>
    <t>Salary Arrear 2</t>
  </si>
  <si>
    <t>Salary Arrear 3</t>
  </si>
  <si>
    <t>BASIC+D.A.</t>
  </si>
  <si>
    <t>Bill No. &amp; T.V. No.</t>
  </si>
  <si>
    <t>Yes</t>
  </si>
  <si>
    <t>Total</t>
  </si>
  <si>
    <t>Designation</t>
  </si>
  <si>
    <t>C.C.A.</t>
  </si>
  <si>
    <t>RECEIPTS</t>
  </si>
  <si>
    <t>DEDUCTIONS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</si>
  <si>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</si>
  <si>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</si>
  <si>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</si>
  <si>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</si>
  <si>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</si>
  <si>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</si>
  <si>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</si>
  <si>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</si>
  <si>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</si>
  <si>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</si>
  <si>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</si>
  <si>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</si>
  <si>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</si>
  <si>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</si>
  <si>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</si>
  <si>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</si>
  <si>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</si>
  <si>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</si>
  <si>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</si>
  <si>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</si>
  <si>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</si>
  <si>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</si>
  <si>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</si>
  <si>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</si>
  <si>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</si>
  <si>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</si>
  <si>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</si>
  <si>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</si>
  <si>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</si>
  <si>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</si>
  <si>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</si>
  <si>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</si>
  <si>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</si>
  <si>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</si>
  <si>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</si>
  <si>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</si>
  <si>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</si>
  <si>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</si>
  <si>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</si>
  <si>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</si>
  <si>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</si>
  <si>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</si>
  <si>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</si>
  <si>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</si>
  <si>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</si>
  <si>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</si>
  <si>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</si>
  <si>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</si>
  <si>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</si>
  <si>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</si>
  <si>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</si>
  <si>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</si>
  <si>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</si>
  <si>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</si>
  <si>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</si>
  <si>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</si>
  <si>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</si>
  <si>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</si>
  <si>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</si>
  <si>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</si>
  <si>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 xml:space="preserve">T.D.S </t>
  </si>
  <si>
    <t>Total Tax Deduction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</si>
  <si>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</si>
  <si>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</si>
  <si>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</si>
  <si>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</si>
  <si>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</si>
  <si>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</si>
  <si>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</si>
  <si>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</si>
  <si>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</si>
  <si>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</si>
  <si>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</si>
  <si>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</si>
  <si>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</si>
  <si>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</si>
  <si>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10. Tution Fees</t>
  </si>
  <si>
    <t>NPS (New Pension Scheme)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</si>
  <si>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</si>
  <si>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(C) Less - Section 80CCD (1B) Additional Contribution to New Pension Scheme (Maximum Rs.50,000)</t>
  </si>
  <si>
    <t xml:space="preserve">Total (A+B+C)     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</si>
  <si>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</si>
  <si>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</si>
  <si>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</si>
  <si>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</si>
  <si>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</si>
  <si>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</si>
  <si>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</si>
  <si>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</si>
  <si>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</si>
  <si>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</si>
  <si>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3. Expenditure tax under section 16(III)</t>
  </si>
  <si>
    <t>CREATED BY : PARMANAND MEGHWAL SENIOR TEACHER  (9784379510) , BARAN RAJASTHAN.</t>
  </si>
  <si>
    <t>DOWNLOD TAX SOFTWARE  -  RAJTEACHERS.NET</t>
  </si>
  <si>
    <t>6. Home Loan Principal Amount</t>
  </si>
  <si>
    <t>HBA Premium -Home Loan Principal Amount</t>
  </si>
  <si>
    <t>Name Of Employee</t>
  </si>
  <si>
    <t>DDO Code</t>
  </si>
  <si>
    <t>DDO Name</t>
  </si>
  <si>
    <t>PAN</t>
  </si>
  <si>
    <t>TAN</t>
  </si>
  <si>
    <t xml:space="preserve">(iv) Standard Deduction (Maximum limit Rs.50000)  </t>
  </si>
  <si>
    <t>(iii) Professional Tax under section 10</t>
  </si>
  <si>
    <t>Recovery</t>
  </si>
  <si>
    <t>AAAAAAA</t>
  </si>
  <si>
    <t xml:space="preserve">                                                           Remanent (2-3)</t>
  </si>
  <si>
    <t>PARMANAND MEGHWAL</t>
  </si>
  <si>
    <t>NPS EMPLOYEE</t>
  </si>
  <si>
    <t>TRANSPORT ALLOWANCE CITY</t>
  </si>
  <si>
    <t>TPTA</t>
  </si>
  <si>
    <t>OTHER</t>
  </si>
  <si>
    <t>LEVEL</t>
  </si>
  <si>
    <t>EMPLOYEE ID</t>
  </si>
  <si>
    <t>ASHOK KUMAR SHARMA</t>
  </si>
  <si>
    <t>PRINCIPAL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</si>
  <si>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</si>
  <si>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</si>
  <si>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</si>
  <si>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</si>
  <si>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</si>
  <si>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</si>
  <si>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</si>
  <si>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</si>
  <si>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</si>
  <si>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</si>
  <si>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</si>
  <si>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</si>
  <si>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</si>
  <si>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</si>
  <si>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</si>
  <si>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</si>
  <si>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</si>
  <si>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</si>
  <si>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</si>
  <si>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</si>
  <si>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BONUS</t>
  </si>
  <si>
    <t>Not Allowed</t>
  </si>
  <si>
    <t xml:space="preserve">Other Allowance </t>
  </si>
  <si>
    <t>Transport Allow.</t>
  </si>
  <si>
    <t>CGHS</t>
  </si>
  <si>
    <t>CGEGIS</t>
  </si>
  <si>
    <t>17. Section 10(14) Deduction</t>
  </si>
  <si>
    <t>(i) House Rent, Under Section 10(13-A) and other Allowances</t>
  </si>
  <si>
    <t>(ii)  Under Section 10(14) which are Exempt from tax.</t>
  </si>
  <si>
    <t>9. Section 80GGC Donations Made to Political Parties</t>
  </si>
  <si>
    <t>34. Section 80GGC Donations Made to Political Parties</t>
  </si>
  <si>
    <t>18. 80TTA/80TTB Maximum Interest on Savings Account</t>
  </si>
  <si>
    <t>19. Income Of Other Source (Bank FD, Interest etc)</t>
  </si>
  <si>
    <t xml:space="preserve">20. 80C - Other Deductions In Under Section </t>
  </si>
  <si>
    <t>21. (80CCC) Contribution to Pension Plan - Other Than NPS</t>
  </si>
  <si>
    <t>22. 80CCD(1B) Additional Contribution in NPS - (Max. 50000)</t>
  </si>
  <si>
    <t>23. 80D Medical Insurance Premium</t>
  </si>
  <si>
    <t>24. 80DD Medical treatment of dependents with disabilities</t>
  </si>
  <si>
    <t>25. 80DDB Deduction for treatment of specific diseases</t>
  </si>
  <si>
    <t>26. 80E Interest on loan taken for higher education</t>
  </si>
  <si>
    <t>27. 80G Donations given to charitable institutions etc.</t>
  </si>
  <si>
    <t>28. 80U In case of permanent physical disability</t>
  </si>
  <si>
    <t>30. Equity Linked Savings Scheme</t>
  </si>
  <si>
    <r>
      <rPr>
        <sz val="12"/>
        <rFont val="Calibri"/>
        <family val="2"/>
        <scheme val="minor"/>
      </rPr>
      <t>29.</t>
    </r>
    <r>
      <rPr>
        <sz val="10"/>
        <rFont val="Calibri"/>
        <family val="2"/>
        <scheme val="minor"/>
      </rPr>
      <t xml:space="preserve"> 80GGA Donations given for approved scientific, social, rural development etc.</t>
    </r>
  </si>
  <si>
    <t>31. Defferred Annuty</t>
  </si>
  <si>
    <t>32. Relief under section 89</t>
  </si>
  <si>
    <t>33. TDS - Income tax deposited in addition to salary bill</t>
  </si>
  <si>
    <t>MOBILE NO.</t>
  </si>
  <si>
    <t>Grand Total (1 to 9)</t>
  </si>
  <si>
    <t>Govt Senior Secondary School, Gordhanpura Baran.</t>
  </si>
  <si>
    <t>GOVT  NPS</t>
  </si>
  <si>
    <t>Professional Tax</t>
  </si>
  <si>
    <t>(4) Balance Income Tax</t>
  </si>
  <si>
    <t>(5) Education cess 2% and surcharge for higher education 2% (Total 4%)</t>
  </si>
  <si>
    <t>(B) Less - Section 80CCD(2) The Amount of Pension Contribution by the Employer (14% of the Maximum Salary) Separately exempted</t>
  </si>
  <si>
    <t>Up to September 2025</t>
  </si>
  <si>
    <t>Up to December 2025</t>
  </si>
  <si>
    <t>Incometax Computation Financial (2025-26) Assessment Year (2026-27)</t>
  </si>
  <si>
    <t>MARCH 2025 BASIC</t>
  </si>
  <si>
    <t>DA Arrear 55%</t>
  </si>
  <si>
    <t>DA Arrear 58%</t>
  </si>
  <si>
    <t>Income Tax Computation Year 2025-2026 (Assessment Year 2026-2027)</t>
  </si>
  <si>
    <t>Up to January 2026</t>
  </si>
  <si>
    <t>Up to February 2026</t>
  </si>
  <si>
    <t>Up to 4,00,000</t>
  </si>
  <si>
    <t>4,00,001-8,00,000</t>
  </si>
  <si>
    <t>8,00,001-12,00,000</t>
  </si>
  <si>
    <t>12,00,001-16,00,000</t>
  </si>
  <si>
    <t>16,00,001-20,00,000</t>
  </si>
  <si>
    <t>20,00,001-24,00,000</t>
  </si>
  <si>
    <t xml:space="preserve">More Than 24,00,000 </t>
  </si>
  <si>
    <t>(2) Exemption section 87(I) (exemption of income tax on taxable income of Rs.4.00 lakh to Rs.12.00 lakh subject to a maximum of Rs.60000) &amp; (Marginal Relief benefit under section 115BAC(1)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</si>
</sst>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7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b/>
      <sz val="22"/>
      <name val="Calibri"/>
      <family val="2"/>
      <scheme val="minor"/>
    </font>
    <font>
      <sz val="16"/>
      <name val="Arial"/>
      <family val="2"/>
    </font>
    <font>
      <b/>
      <sz val="16"/>
      <name val="Arial"/>
      <family val="2"/>
    </font>
    <font>
      <sz val="16"/>
      <name val="Times New Roman"/>
      <family val="1"/>
    </font>
    <font>
      <b/>
      <sz val="14"/>
      <color theme="0"/>
      <name val="Arial"/>
      <family val="2"/>
    </font>
    <font>
      <b/>
      <u/>
      <sz val="22"/>
      <color rgb="FF0000FF"/>
      <name val="Times New Roman"/>
      <family val="1"/>
    </font>
    <font>
      <sz val="12"/>
      <name val="Cambria"/>
      <family val="1"/>
      <scheme val="major"/>
    </font>
    <font>
      <b/>
      <sz val="24"/>
      <color rgb="FFC00000"/>
      <name val="Times New Roman"/>
      <family val="1"/>
    </font>
    <font>
      <sz val="9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7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7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" fillId="0" borderId="0"/>
    <xf numFmtId="9" fontId="66" fillId="0" borderId="0" applyFont="0" applyFill="0" applyBorder="0" applyAlignment="0" applyProtection="0"/>
  </cellStyleXfs>
  <cellXfs count="343">
    <xf numFmtId="0" fontId="0" fillId="0" borderId="0" xfId="0"/>
    <xf numFmtId="2" fontId="1" fillId="0" borderId="0" xfId="0" applyNumberFormat="1" applyFont="1"/>
    <xf numFmtId="2" fontId="6" fillId="24" borderId="0" xfId="0" applyNumberFormat="1" applyFont="1" applyFill="1" applyAlignment="1">
      <alignment horizontal="left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top" textRotation="90"/>
    </xf>
    <xf numFmtId="0" fontId="3" fillId="0" borderId="0" xfId="0" applyFont="1"/>
    <xf numFmtId="0" fontId="25" fillId="0" borderId="0" xfId="37" applyFont="1"/>
    <xf numFmtId="0" fontId="1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3" fillId="0" borderId="0" xfId="0" applyFont="1" applyAlignment="1">
      <alignment horizontal="center" textRotation="90" wrapText="1"/>
    </xf>
    <xf numFmtId="0" fontId="30" fillId="0" borderId="0" xfId="0" applyFont="1" applyAlignment="1">
      <alignment vertical="center"/>
    </xf>
    <xf numFmtId="0" fontId="33" fillId="0" borderId="0" xfId="0" applyFont="1" applyAlignment="1">
      <alignment horizontal="center" vertical="center" textRotation="90"/>
    </xf>
    <xf numFmtId="0" fontId="26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2" fontId="29" fillId="0" borderId="0" xfId="37" applyNumberFormat="1" applyFont="1" applyAlignment="1">
      <alignment horizontal="right" vertical="center"/>
    </xf>
    <xf numFmtId="0" fontId="30" fillId="0" borderId="10" xfId="0" applyFont="1" applyBorder="1" applyAlignment="1" applyProtection="1">
      <alignment horizontal="center" vertical="center"/>
      <protection locked="0" hidden="1"/>
    </xf>
    <xf numFmtId="0" fontId="33" fillId="0" borderId="10" xfId="0" applyFont="1" applyBorder="1" applyAlignment="1" applyProtection="1">
      <alignment horizontal="center" vertical="center"/>
      <protection hidden="1"/>
    </xf>
    <xf numFmtId="2" fontId="30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Font="1" applyFill="1" applyAlignment="1">
      <alignment vertical="top"/>
    </xf>
    <xf numFmtId="2" fontId="1" fillId="0" borderId="0" xfId="0" applyNumberFormat="1" applyFont="1" applyAlignment="1">
      <alignment vertical="center"/>
    </xf>
    <xf numFmtId="2" fontId="6" fillId="24" borderId="0" xfId="0" applyNumberFormat="1" applyFont="1" applyFill="1" applyAlignment="1">
      <alignment horizontal="left" indent="2"/>
    </xf>
    <xf numFmtId="0" fontId="26" fillId="26" borderId="0" xfId="0" applyFont="1" applyFill="1" applyAlignment="1">
      <alignment vertical="top"/>
    </xf>
    <xf numFmtId="0" fontId="33" fillId="26" borderId="0" xfId="0" applyFont="1" applyFill="1" applyAlignment="1">
      <alignment horizontal="center" textRotation="90" wrapText="1"/>
    </xf>
    <xf numFmtId="0" fontId="30" fillId="26" borderId="0" xfId="0" applyFont="1" applyFill="1" applyAlignment="1">
      <alignment vertical="center"/>
    </xf>
    <xf numFmtId="0" fontId="33" fillId="26" borderId="0" xfId="0" applyFont="1" applyFill="1" applyAlignment="1">
      <alignment horizontal="center" vertical="center" textRotation="90"/>
    </xf>
    <xf numFmtId="0" fontId="4" fillId="26" borderId="0" xfId="0" applyFont="1" applyFill="1" applyAlignment="1">
      <alignment vertical="top" textRotation="90"/>
    </xf>
    <xf numFmtId="0" fontId="0" fillId="26" borderId="0" xfId="0" applyFill="1"/>
    <xf numFmtId="2" fontId="6" fillId="24" borderId="17" xfId="0" applyNumberFormat="1" applyFont="1" applyFill="1" applyBorder="1" applyAlignment="1">
      <alignment horizontal="left"/>
    </xf>
    <xf numFmtId="2" fontId="6" fillId="24" borderId="17" xfId="0" applyNumberFormat="1" applyFont="1" applyFill="1" applyBorder="1" applyAlignment="1">
      <alignment horizontal="left" indent="2"/>
    </xf>
    <xf numFmtId="2" fontId="44" fillId="31" borderId="17" xfId="0" applyNumberFormat="1" applyFont="1" applyFill="1" applyBorder="1" applyAlignment="1">
      <alignment horizontal="center" vertical="center"/>
    </xf>
    <xf numFmtId="1" fontId="45" fillId="30" borderId="0" xfId="0" applyNumberFormat="1" applyFont="1" applyFill="1" applyAlignment="1">
      <alignment horizontal="center" vertical="center"/>
    </xf>
    <xf numFmtId="1" fontId="45" fillId="31" borderId="0" xfId="0" applyNumberFormat="1" applyFont="1" applyFill="1" applyAlignment="1">
      <alignment horizontal="center" vertical="center"/>
    </xf>
    <xf numFmtId="1" fontId="45" fillId="29" borderId="0" xfId="0" applyNumberFormat="1" applyFont="1" applyFill="1" applyAlignment="1">
      <alignment horizontal="center" vertical="center"/>
    </xf>
    <xf numFmtId="2" fontId="45" fillId="29" borderId="0" xfId="0" applyNumberFormat="1" applyFont="1" applyFill="1" applyAlignment="1">
      <alignment horizontal="center" vertical="center"/>
    </xf>
    <xf numFmtId="2" fontId="28" fillId="29" borderId="0" xfId="0" applyNumberFormat="1" applyFont="1" applyFill="1" applyAlignment="1" applyProtection="1">
      <alignment horizontal="center"/>
      <protection locked="0"/>
    </xf>
    <xf numFmtId="2" fontId="28" fillId="29" borderId="0" xfId="0" applyNumberFormat="1" applyFont="1" applyFill="1" applyAlignment="1">
      <alignment horizontal="left"/>
    </xf>
    <xf numFmtId="2" fontId="28" fillId="33" borderId="0" xfId="0" applyNumberFormat="1" applyFont="1" applyFill="1" applyAlignment="1" applyProtection="1">
      <alignment horizontal="center" vertical="center"/>
      <protection locked="0"/>
    </xf>
    <xf numFmtId="2" fontId="28" fillId="33" borderId="0" xfId="0" applyNumberFormat="1" applyFont="1" applyFill="1" applyAlignment="1">
      <alignment horizontal="left"/>
    </xf>
    <xf numFmtId="2" fontId="28" fillId="33" borderId="0" xfId="0" applyNumberFormat="1" applyFont="1" applyFill="1" applyAlignment="1" applyProtection="1">
      <alignment horizontal="center"/>
      <protection locked="0"/>
    </xf>
    <xf numFmtId="2" fontId="46" fillId="34" borderId="17" xfId="0" applyNumberFormat="1" applyFont="1" applyFill="1" applyBorder="1" applyAlignment="1">
      <alignment horizontal="center"/>
    </xf>
    <xf numFmtId="17" fontId="35" fillId="0" borderId="22" xfId="0" applyNumberFormat="1" applyFont="1" applyBorder="1" applyAlignment="1">
      <alignment horizontal="center" vertical="center"/>
    </xf>
    <xf numFmtId="0" fontId="30" fillId="0" borderId="21" xfId="0" applyFont="1" applyBorder="1" applyAlignment="1" applyProtection="1">
      <alignment horizontal="center" vertical="center"/>
      <protection locked="0" hidden="1"/>
    </xf>
    <xf numFmtId="17" fontId="30" fillId="0" borderId="22" xfId="0" applyNumberFormat="1" applyFont="1" applyBorder="1" applyAlignment="1" applyProtection="1">
      <alignment horizontal="center" vertical="center"/>
      <protection locked="0"/>
    </xf>
    <xf numFmtId="17" fontId="30" fillId="0" borderId="22" xfId="0" applyNumberFormat="1" applyFont="1" applyBorder="1" applyAlignment="1">
      <alignment horizontal="center" vertical="center"/>
    </xf>
    <xf numFmtId="0" fontId="33" fillId="0" borderId="27" xfId="0" applyFont="1" applyBorder="1" applyAlignment="1">
      <alignment horizontal="center" vertical="center" textRotation="90"/>
    </xf>
    <xf numFmtId="0" fontId="40" fillId="0" borderId="28" xfId="0" applyFont="1" applyBorder="1" applyAlignment="1" applyProtection="1">
      <alignment horizontal="center" vertical="center" textRotation="90"/>
      <protection hidden="1"/>
    </xf>
    <xf numFmtId="0" fontId="33" fillId="0" borderId="29" xfId="0" applyFont="1" applyBorder="1" applyAlignment="1" applyProtection="1">
      <alignment horizontal="center" vertical="center" textRotation="90"/>
      <protection hidden="1"/>
    </xf>
    <xf numFmtId="0" fontId="30" fillId="36" borderId="10" xfId="0" applyFont="1" applyFill="1" applyBorder="1" applyAlignment="1" applyProtection="1">
      <alignment horizontal="center" vertical="center"/>
      <protection locked="0" hidden="1"/>
    </xf>
    <xf numFmtId="0" fontId="58" fillId="0" borderId="0" xfId="37" applyFont="1" applyAlignment="1">
      <alignment horizontal="right" vertical="center"/>
    </xf>
    <xf numFmtId="0" fontId="29" fillId="0" borderId="0" xfId="37" applyFont="1" applyAlignment="1">
      <alignment horizontal="right" vertical="center"/>
    </xf>
    <xf numFmtId="0" fontId="29" fillId="0" borderId="0" xfId="37" applyFont="1"/>
    <xf numFmtId="0" fontId="30" fillId="0" borderId="0" xfId="37" applyFont="1"/>
    <xf numFmtId="0" fontId="30" fillId="0" borderId="0" xfId="37" applyFont="1" applyAlignment="1">
      <alignment horizontal="right"/>
    </xf>
    <xf numFmtId="0" fontId="29" fillId="26" borderId="0" xfId="37" applyFont="1" applyFill="1"/>
    <xf numFmtId="0" fontId="30" fillId="26" borderId="0" xfId="37" applyFont="1" applyFill="1"/>
    <xf numFmtId="0" fontId="33" fillId="26" borderId="0" xfId="37" applyFont="1" applyFill="1" applyAlignment="1">
      <alignment horizontal="right"/>
    </xf>
    <xf numFmtId="0" fontId="30" fillId="26" borderId="0" xfId="37" applyFont="1" applyFill="1" applyAlignment="1">
      <alignment horizontal="right"/>
    </xf>
    <xf numFmtId="0" fontId="33" fillId="0" borderId="0" xfId="37" applyFont="1" applyAlignment="1">
      <alignment horizontal="right"/>
    </xf>
    <xf numFmtId="2" fontId="29" fillId="29" borderId="0" xfId="0" applyNumberFormat="1" applyFont="1" applyFill="1" applyAlignment="1">
      <alignment horizontal="left" indent="1"/>
    </xf>
    <xf numFmtId="2" fontId="29" fillId="33" borderId="0" xfId="0" applyNumberFormat="1" applyFont="1" applyFill="1" applyAlignment="1">
      <alignment horizontal="left" vertical="center" wrapText="1" indent="1"/>
    </xf>
    <xf numFmtId="2" fontId="29" fillId="33" borderId="0" xfId="0" applyNumberFormat="1" applyFont="1" applyFill="1" applyAlignment="1">
      <alignment horizontal="left" vertical="center" indent="1"/>
    </xf>
    <xf numFmtId="2" fontId="29" fillId="33" borderId="0" xfId="0" applyNumberFormat="1" applyFont="1" applyFill="1" applyAlignment="1">
      <alignment horizontal="left" indent="1"/>
    </xf>
    <xf numFmtId="2" fontId="29" fillId="29" borderId="0" xfId="0" applyNumberFormat="1" applyFont="1" applyFill="1" applyAlignment="1">
      <alignment horizontal="left" vertical="center" wrapText="1" indent="1"/>
    </xf>
    <xf numFmtId="2" fontId="30" fillId="33" borderId="0" xfId="0" applyNumberFormat="1" applyFont="1" applyFill="1" applyAlignment="1">
      <alignment horizontal="left" indent="1"/>
    </xf>
    <xf numFmtId="0" fontId="30" fillId="32" borderId="10" xfId="0" applyFont="1" applyFill="1" applyBorder="1" applyAlignment="1" applyProtection="1">
      <alignment horizontal="center" vertical="center"/>
      <protection locked="0" hidden="1"/>
    </xf>
    <xf numFmtId="0" fontId="30" fillId="0" borderId="10" xfId="0" applyFont="1" applyBorder="1" applyAlignment="1" applyProtection="1">
      <alignment vertical="center"/>
      <protection locked="0"/>
    </xf>
    <xf numFmtId="1" fontId="30" fillId="0" borderId="10" xfId="0" applyNumberFormat="1" applyFont="1" applyBorder="1" applyAlignment="1" applyProtection="1">
      <alignment horizontal="center" vertical="center"/>
      <protection locked="0" hidden="1"/>
    </xf>
    <xf numFmtId="0" fontId="4" fillId="0" borderId="40" xfId="0" applyFont="1" applyBorder="1" applyAlignment="1">
      <alignment vertical="top" textRotation="90"/>
    </xf>
    <xf numFmtId="0" fontId="4" fillId="0" borderId="36" xfId="0" applyFont="1" applyBorder="1" applyAlignment="1">
      <alignment vertical="top" textRotation="90"/>
    </xf>
    <xf numFmtId="0" fontId="5" fillId="0" borderId="40" xfId="0" applyFont="1" applyBorder="1" applyAlignment="1">
      <alignment vertical="top"/>
    </xf>
    <xf numFmtId="0" fontId="5" fillId="0" borderId="36" xfId="0" applyFont="1" applyBorder="1" applyAlignment="1">
      <alignment vertical="top"/>
    </xf>
    <xf numFmtId="0" fontId="5" fillId="0" borderId="10" xfId="0" applyFont="1" applyBorder="1" applyAlignment="1">
      <alignment vertical="top"/>
    </xf>
    <xf numFmtId="9" fontId="70" fillId="0" borderId="10" xfId="0" applyNumberFormat="1" applyFont="1" applyBorder="1" applyAlignment="1">
      <alignment horizontal="center" vertical="center"/>
    </xf>
    <xf numFmtId="0" fontId="70" fillId="0" borderId="14" xfId="0" applyFont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71" fillId="0" borderId="10" xfId="0" applyFont="1" applyBorder="1" applyAlignment="1">
      <alignment vertical="top"/>
    </xf>
    <xf numFmtId="0" fontId="69" fillId="0" borderId="10" xfId="0" applyFont="1" applyBorder="1" applyAlignment="1">
      <alignment vertical="top"/>
    </xf>
    <xf numFmtId="0" fontId="26" fillId="0" borderId="17" xfId="0" applyFont="1" applyBorder="1" applyAlignment="1">
      <alignment vertical="top"/>
    </xf>
    <xf numFmtId="9" fontId="70" fillId="0" borderId="14" xfId="0" applyNumberFormat="1" applyFont="1" applyBorder="1" applyAlignment="1">
      <alignment horizontal="center" vertical="center"/>
    </xf>
    <xf numFmtId="0" fontId="5" fillId="36" borderId="0" xfId="0" applyFont="1" applyFill="1" applyAlignment="1">
      <alignment vertical="top"/>
    </xf>
    <xf numFmtId="9" fontId="70" fillId="36" borderId="14" xfId="0" applyNumberFormat="1" applyFont="1" applyFill="1" applyBorder="1" applyAlignment="1">
      <alignment horizontal="center" vertical="center"/>
    </xf>
    <xf numFmtId="9" fontId="70" fillId="36" borderId="10" xfId="0" applyNumberFormat="1" applyFont="1" applyFill="1" applyBorder="1" applyAlignment="1">
      <alignment horizontal="center" vertical="center"/>
    </xf>
    <xf numFmtId="0" fontId="5" fillId="36" borderId="10" xfId="0" applyFont="1" applyFill="1" applyBorder="1" applyAlignment="1" applyProtection="1">
      <alignment horizontal="left"/>
      <protection locked="0" hidden="1"/>
    </xf>
    <xf numFmtId="0" fontId="65" fillId="36" borderId="10" xfId="0" applyFont="1" applyFill="1" applyBorder="1" applyAlignment="1" applyProtection="1">
      <alignment horizontal="center" vertical="center" wrapText="1"/>
      <protection hidden="1"/>
    </xf>
    <xf numFmtId="0" fontId="67" fillId="36" borderId="10" xfId="0" applyFont="1" applyFill="1" applyBorder="1" applyAlignment="1" applyProtection="1">
      <alignment horizontal="center" vertical="center" wrapText="1"/>
      <protection locked="0" hidden="1"/>
    </xf>
    <xf numFmtId="0" fontId="65" fillId="36" borderId="10" xfId="0" applyFont="1" applyFill="1" applyBorder="1" applyAlignment="1" applyProtection="1">
      <alignment horizontal="center" vertical="center" wrapText="1"/>
      <protection locked="0" hidden="1"/>
    </xf>
    <xf numFmtId="9" fontId="67" fillId="36" borderId="10" xfId="46" applyFont="1" applyFill="1" applyBorder="1" applyAlignment="1" applyProtection="1">
      <alignment horizontal="center" vertical="center" wrapText="1"/>
      <protection hidden="1"/>
    </xf>
    <xf numFmtId="0" fontId="55" fillId="36" borderId="10" xfId="0" applyFont="1" applyFill="1" applyBorder="1" applyAlignment="1" applyProtection="1">
      <alignment horizontal="center" vertical="center" wrapText="1"/>
      <protection locked="0" hidden="1"/>
    </xf>
    <xf numFmtId="0" fontId="48" fillId="36" borderId="10" xfId="0" applyFont="1" applyFill="1" applyBorder="1" applyAlignment="1" applyProtection="1">
      <alignment horizontal="center" vertical="center" wrapText="1"/>
      <protection locked="0" hidden="1"/>
    </xf>
    <xf numFmtId="0" fontId="68" fillId="36" borderId="10" xfId="0" applyFont="1" applyFill="1" applyBorder="1" applyAlignment="1" applyProtection="1">
      <alignment horizontal="center" vertical="center" wrapText="1"/>
      <protection locked="0" hidden="1"/>
    </xf>
    <xf numFmtId="0" fontId="72" fillId="36" borderId="10" xfId="0" applyFont="1" applyFill="1" applyBorder="1" applyAlignment="1" applyProtection="1">
      <alignment horizontal="center" vertical="center" wrapText="1"/>
      <protection hidden="1"/>
    </xf>
    <xf numFmtId="0" fontId="70" fillId="36" borderId="10" xfId="0" applyFont="1" applyFill="1" applyBorder="1" applyAlignment="1" applyProtection="1">
      <alignment horizontal="center" vertical="center" wrapText="1"/>
      <protection hidden="1"/>
    </xf>
    <xf numFmtId="0" fontId="48" fillId="36" borderId="10" xfId="0" applyFont="1" applyFill="1" applyBorder="1" applyAlignment="1" applyProtection="1">
      <alignment horizontal="center" vertical="center" wrapText="1"/>
      <protection hidden="1"/>
    </xf>
    <xf numFmtId="9" fontId="67" fillId="32" borderId="10" xfId="46" applyFont="1" applyFill="1" applyBorder="1" applyAlignment="1" applyProtection="1">
      <alignment horizontal="center" vertical="center" wrapText="1"/>
      <protection locked="0" hidden="1"/>
    </xf>
    <xf numFmtId="0" fontId="70" fillId="32" borderId="10" xfId="0" applyFont="1" applyFill="1" applyBorder="1" applyAlignment="1" applyProtection="1">
      <alignment horizontal="center" vertical="center" wrapText="1"/>
      <protection locked="0" hidden="1"/>
    </xf>
    <xf numFmtId="0" fontId="57" fillId="32" borderId="10" xfId="0" applyFont="1" applyFill="1" applyBorder="1" applyAlignment="1" applyProtection="1">
      <alignment horizontal="center" vertical="center" wrapText="1"/>
      <protection locked="0" hidden="1"/>
    </xf>
    <xf numFmtId="0" fontId="71" fillId="0" borderId="14" xfId="0" applyFont="1" applyBorder="1" applyAlignment="1">
      <alignment vertical="top"/>
    </xf>
    <xf numFmtId="2" fontId="29" fillId="40" borderId="0" xfId="0" applyNumberFormat="1" applyFont="1" applyFill="1" applyAlignment="1">
      <alignment horizontal="left" indent="1"/>
    </xf>
    <xf numFmtId="2" fontId="28" fillId="40" borderId="0" xfId="0" applyNumberFormat="1" applyFont="1" applyFill="1" applyAlignment="1" applyProtection="1">
      <alignment horizontal="center"/>
      <protection locked="0"/>
    </xf>
    <xf numFmtId="2" fontId="28" fillId="40" borderId="0" xfId="0" applyNumberFormat="1" applyFont="1" applyFill="1" applyAlignment="1">
      <alignment horizontal="left"/>
    </xf>
    <xf numFmtId="2" fontId="46" fillId="40" borderId="0" xfId="0" applyNumberFormat="1" applyFont="1" applyFill="1" applyAlignment="1">
      <alignment horizontal="center" vertical="center"/>
    </xf>
    <xf numFmtId="2" fontId="1" fillId="40" borderId="0" xfId="0" applyNumberFormat="1" applyFont="1" applyFill="1"/>
    <xf numFmtId="0" fontId="3" fillId="40" borderId="0" xfId="0" applyFont="1" applyFill="1"/>
    <xf numFmtId="0" fontId="60" fillId="32" borderId="10" xfId="0" applyFont="1" applyFill="1" applyBorder="1" applyAlignment="1" applyProtection="1">
      <alignment horizontal="center" vertical="center" wrapText="1"/>
      <protection locked="0" hidden="1"/>
    </xf>
    <xf numFmtId="0" fontId="6" fillId="36" borderId="10" xfId="0" applyFont="1" applyFill="1" applyBorder="1" applyAlignment="1" applyProtection="1">
      <alignment horizontal="left" vertical="center"/>
      <protection locked="0"/>
    </xf>
    <xf numFmtId="0" fontId="36" fillId="0" borderId="10" xfId="0" applyFont="1" applyBorder="1" applyAlignment="1" applyProtection="1">
      <alignment horizontal="center" vertical="center" wrapText="1"/>
      <protection hidden="1"/>
    </xf>
    <xf numFmtId="0" fontId="6" fillId="39" borderId="10" xfId="0" applyFont="1" applyFill="1" applyBorder="1" applyAlignment="1" applyProtection="1">
      <alignment horizontal="left" vertical="center"/>
      <protection locked="0"/>
    </xf>
    <xf numFmtId="1" fontId="6" fillId="39" borderId="10" xfId="0" applyNumberFormat="1" applyFont="1" applyFill="1" applyBorder="1" applyAlignment="1" applyProtection="1">
      <alignment horizontal="left" vertical="center"/>
      <protection locked="0"/>
    </xf>
    <xf numFmtId="1" fontId="6" fillId="36" borderId="1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hidden="1"/>
    </xf>
    <xf numFmtId="0" fontId="29" fillId="0" borderId="30" xfId="37" applyFont="1" applyBorder="1" applyAlignment="1" applyProtection="1">
      <alignment horizontal="center" vertical="center"/>
      <protection hidden="1"/>
    </xf>
    <xf numFmtId="0" fontId="35" fillId="0" borderId="32" xfId="37" applyFont="1" applyBorder="1" applyAlignment="1" applyProtection="1">
      <alignment horizontal="left" vertical="center"/>
      <protection hidden="1"/>
    </xf>
    <xf numFmtId="0" fontId="30" fillId="0" borderId="32" xfId="37" applyFont="1" applyBorder="1" applyAlignment="1" applyProtection="1">
      <alignment horizontal="right" vertical="center"/>
      <protection hidden="1"/>
    </xf>
    <xf numFmtId="0" fontId="29" fillId="0" borderId="22" xfId="37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left" vertical="top" wrapText="1"/>
      <protection hidden="1"/>
    </xf>
    <xf numFmtId="2" fontId="28" fillId="0" borderId="21" xfId="37" applyNumberFormat="1" applyFont="1" applyBorder="1" applyAlignment="1" applyProtection="1">
      <alignment horizontal="right" vertical="center"/>
      <protection hidden="1"/>
    </xf>
    <xf numFmtId="2" fontId="29" fillId="0" borderId="21" xfId="37" applyNumberFormat="1" applyFont="1" applyBorder="1" applyAlignment="1" applyProtection="1">
      <alignment horizontal="right" vertical="center"/>
      <protection hidden="1"/>
    </xf>
    <xf numFmtId="0" fontId="42" fillId="0" borderId="10" xfId="37" applyFont="1" applyBorder="1" applyAlignment="1" applyProtection="1">
      <alignment horizontal="center" vertical="top" wrapText="1"/>
      <protection hidden="1"/>
    </xf>
    <xf numFmtId="2" fontId="51" fillId="0" borderId="10" xfId="37" applyNumberFormat="1" applyFont="1" applyBorder="1" applyAlignment="1" applyProtection="1">
      <alignment horizontal="center" vertical="top" wrapText="1"/>
      <protection hidden="1"/>
    </xf>
    <xf numFmtId="2" fontId="51" fillId="25" borderId="10" xfId="37" applyNumberFormat="1" applyFont="1" applyFill="1" applyBorder="1" applyAlignment="1" applyProtection="1">
      <alignment horizontal="center" vertical="top" wrapText="1"/>
      <protection hidden="1"/>
    </xf>
    <xf numFmtId="0" fontId="53" fillId="0" borderId="10" xfId="37" applyFont="1" applyBorder="1" applyAlignment="1" applyProtection="1">
      <alignment horizontal="center" vertical="top" wrapText="1"/>
      <protection hidden="1"/>
    </xf>
    <xf numFmtId="0" fontId="53" fillId="0" borderId="10" xfId="37" applyFont="1" applyBorder="1" applyAlignment="1" applyProtection="1">
      <alignment horizontal="left" vertical="top" wrapText="1"/>
      <protection hidden="1"/>
    </xf>
    <xf numFmtId="2" fontId="54" fillId="0" borderId="10" xfId="37" applyNumberFormat="1" applyFont="1" applyBorder="1" applyAlignment="1" applyProtection="1">
      <alignment horizontal="center" vertical="top" wrapText="1"/>
      <protection hidden="1"/>
    </xf>
    <xf numFmtId="2" fontId="32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24" xfId="37" applyFont="1" applyBorder="1" applyAlignment="1" applyProtection="1">
      <alignment horizontal="center" vertical="top"/>
      <protection hidden="1"/>
    </xf>
    <xf numFmtId="2" fontId="28" fillId="0" borderId="21" xfId="37" applyNumberFormat="1" applyFont="1" applyBorder="1" applyAlignment="1" applyProtection="1">
      <alignment horizontal="right" vertical="center"/>
      <protection locked="0"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4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2" fontId="29" fillId="0" borderId="21" xfId="37" applyNumberFormat="1" applyFont="1" applyBorder="1" applyAlignment="1" applyProtection="1">
      <alignment vertical="center"/>
      <protection hidden="1"/>
    </xf>
    <xf numFmtId="9" fontId="30" fillId="0" borderId="10" xfId="37" applyNumberFormat="1" applyFont="1" applyBorder="1" applyAlignment="1" applyProtection="1">
      <alignment horizontal="center" vertical="center"/>
      <protection hidden="1"/>
    </xf>
    <xf numFmtId="0" fontId="29" fillId="0" borderId="10" xfId="37" applyFont="1" applyBorder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1" fontId="29" fillId="0" borderId="10" xfId="37" applyNumberFormat="1" applyFont="1" applyBorder="1" applyAlignment="1" applyProtection="1">
      <alignment horizontal="center" vertical="center" wrapText="1"/>
      <protection hidden="1"/>
    </xf>
    <xf numFmtId="2" fontId="29" fillId="0" borderId="29" xfId="37" applyNumberFormat="1" applyFont="1" applyBorder="1" applyAlignment="1" applyProtection="1">
      <alignment horizontal="right" vertical="center"/>
      <protection hidden="1"/>
    </xf>
    <xf numFmtId="0" fontId="58" fillId="0" borderId="0" xfId="37" applyFont="1" applyAlignment="1" applyProtection="1">
      <alignment horizontal="right" vertical="center"/>
      <protection hidden="1"/>
    </xf>
    <xf numFmtId="0" fontId="29" fillId="0" borderId="0" xfId="37" applyFont="1" applyAlignment="1" applyProtection="1">
      <alignment horizontal="right" vertical="center"/>
      <protection hidden="1"/>
    </xf>
    <xf numFmtId="2" fontId="29" fillId="0" borderId="0" xfId="37" applyNumberFormat="1" applyFont="1" applyAlignment="1" applyProtection="1">
      <alignment horizontal="right" vertical="center"/>
      <protection hidden="1"/>
    </xf>
    <xf numFmtId="0" fontId="29" fillId="0" borderId="0" xfId="37" applyFont="1" applyProtection="1">
      <protection hidden="1"/>
    </xf>
    <xf numFmtId="0" fontId="30" fillId="0" borderId="0" xfId="37" applyFont="1" applyProtection="1">
      <protection hidden="1"/>
    </xf>
    <xf numFmtId="0" fontId="30" fillId="0" borderId="0" xfId="37" applyFont="1" applyAlignment="1" applyProtection="1">
      <alignment horizontal="right"/>
      <protection hidden="1"/>
    </xf>
    <xf numFmtId="0" fontId="29" fillId="26" borderId="0" xfId="37" applyFont="1" applyFill="1" applyProtection="1">
      <protection hidden="1"/>
    </xf>
    <xf numFmtId="0" fontId="30" fillId="26" borderId="0" xfId="37" applyFont="1" applyFill="1" applyProtection="1">
      <protection hidden="1"/>
    </xf>
    <xf numFmtId="0" fontId="33" fillId="26" borderId="0" xfId="37" applyFont="1" applyFill="1" applyAlignment="1" applyProtection="1">
      <alignment horizontal="right"/>
      <protection hidden="1"/>
    </xf>
    <xf numFmtId="0" fontId="30" fillId="26" borderId="0" xfId="37" applyFont="1" applyFill="1" applyAlignment="1" applyProtection="1">
      <alignment horizontal="right"/>
      <protection hidden="1"/>
    </xf>
    <xf numFmtId="0" fontId="0" fillId="26" borderId="0" xfId="0" applyFill="1" applyProtection="1">
      <protection hidden="1"/>
    </xf>
    <xf numFmtId="0" fontId="33" fillId="0" borderId="0" xfId="37" applyFont="1" applyAlignment="1" applyProtection="1">
      <alignment horizontal="right"/>
      <protection hidden="1"/>
    </xf>
    <xf numFmtId="0" fontId="1" fillId="0" borderId="0" xfId="37" applyFont="1" applyProtection="1">
      <protection hidden="1"/>
    </xf>
    <xf numFmtId="0" fontId="25" fillId="0" borderId="0" xfId="37" applyFont="1" applyProtection="1">
      <protection hidden="1"/>
    </xf>
    <xf numFmtId="0" fontId="24" fillId="0" borderId="0" xfId="37" applyFont="1" applyAlignment="1" applyProtection="1">
      <alignment horizontal="right"/>
      <protection hidden="1"/>
    </xf>
    <xf numFmtId="0" fontId="25" fillId="0" borderId="0" xfId="37" applyFont="1" applyAlignment="1" applyProtection="1">
      <alignment horizontal="right"/>
      <protection hidden="1"/>
    </xf>
    <xf numFmtId="0" fontId="28" fillId="0" borderId="10" xfId="37" applyFont="1" applyBorder="1" applyAlignment="1" applyProtection="1">
      <alignment horizontal="center" vertical="center" wrapText="1"/>
      <protection hidden="1"/>
    </xf>
    <xf numFmtId="2" fontId="40" fillId="0" borderId="10" xfId="37" applyNumberFormat="1" applyFont="1" applyBorder="1" applyAlignment="1" applyProtection="1">
      <alignment horizontal="center" vertical="center"/>
      <protection hidden="1"/>
    </xf>
    <xf numFmtId="1" fontId="40" fillId="0" borderId="28" xfId="0" applyNumberFormat="1" applyFont="1" applyBorder="1" applyAlignment="1" applyProtection="1">
      <alignment horizontal="center" vertical="center" textRotation="90"/>
      <protection hidden="1"/>
    </xf>
    <xf numFmtId="0" fontId="36" fillId="0" borderId="10" xfId="0" applyFont="1" applyBorder="1" applyAlignment="1" applyProtection="1">
      <alignment horizontal="center" textRotation="90" wrapText="1"/>
      <protection locked="0"/>
    </xf>
    <xf numFmtId="0" fontId="29" fillId="0" borderId="10" xfId="0" applyFont="1" applyBorder="1" applyAlignment="1" applyProtection="1">
      <alignment horizontal="center" textRotation="90" wrapText="1"/>
      <protection locked="0"/>
    </xf>
    <xf numFmtId="0" fontId="38" fillId="0" borderId="10" xfId="0" applyFont="1" applyBorder="1" applyAlignment="1" applyProtection="1">
      <alignment horizontal="center" textRotation="90" wrapText="1"/>
      <protection locked="0"/>
    </xf>
    <xf numFmtId="0" fontId="6" fillId="36" borderId="10" xfId="0" applyFont="1" applyFill="1" applyBorder="1" applyAlignment="1" applyProtection="1">
      <alignment horizontal="left" vertical="center"/>
      <protection locked="0"/>
    </xf>
    <xf numFmtId="0" fontId="73" fillId="0" borderId="10" xfId="0" applyFont="1" applyBorder="1" applyAlignment="1">
      <alignment horizontal="center" vertical="center" wrapText="1"/>
    </xf>
    <xf numFmtId="0" fontId="65" fillId="28" borderId="10" xfId="0" applyFont="1" applyFill="1" applyBorder="1" applyAlignment="1" applyProtection="1">
      <alignment horizontal="center" vertical="center" wrapText="1"/>
      <protection hidden="1"/>
    </xf>
    <xf numFmtId="0" fontId="67" fillId="32" borderId="10" xfId="0" applyFont="1" applyFill="1" applyBorder="1" applyAlignment="1" applyProtection="1">
      <alignment horizontal="center" vertical="center" wrapText="1"/>
      <protection locked="0" hidden="1"/>
    </xf>
    <xf numFmtId="0" fontId="65" fillId="28" borderId="10" xfId="0" applyFont="1" applyFill="1" applyBorder="1" applyAlignment="1" applyProtection="1">
      <alignment horizontal="center" vertical="center" wrapText="1"/>
      <protection locked="0" hidden="1"/>
    </xf>
    <xf numFmtId="0" fontId="55" fillId="32" borderId="10" xfId="0" applyFont="1" applyFill="1" applyBorder="1" applyAlignment="1" applyProtection="1">
      <alignment horizontal="center" vertical="center" wrapText="1"/>
      <protection locked="0" hidden="1"/>
    </xf>
    <xf numFmtId="0" fontId="48" fillId="28" borderId="10" xfId="0" applyFont="1" applyFill="1" applyBorder="1" applyAlignment="1" applyProtection="1">
      <alignment horizontal="center" vertical="center" wrapText="1"/>
      <protection hidden="1"/>
    </xf>
    <xf numFmtId="0" fontId="48" fillId="28" borderId="10" xfId="0" applyFont="1" applyFill="1" applyBorder="1" applyAlignment="1" applyProtection="1">
      <alignment horizontal="center" vertical="center" wrapText="1"/>
      <protection locked="0" hidden="1"/>
    </xf>
    <xf numFmtId="0" fontId="72" fillId="38" borderId="10" xfId="0" applyFont="1" applyFill="1" applyBorder="1" applyAlignment="1" applyProtection="1">
      <alignment horizontal="center" vertical="center" wrapText="1"/>
      <protection hidden="1"/>
    </xf>
    <xf numFmtId="0" fontId="41" fillId="0" borderId="41" xfId="0" applyFont="1" applyBorder="1" applyAlignment="1">
      <alignment horizontal="center" vertical="top"/>
    </xf>
    <xf numFmtId="0" fontId="41" fillId="0" borderId="39" xfId="0" applyFont="1" applyBorder="1" applyAlignment="1">
      <alignment horizontal="center" vertical="top"/>
    </xf>
    <xf numFmtId="0" fontId="41" fillId="0" borderId="42" xfId="0" applyFont="1" applyBorder="1" applyAlignment="1">
      <alignment horizontal="center" vertical="top"/>
    </xf>
    <xf numFmtId="0" fontId="75" fillId="0" borderId="10" xfId="0" applyFont="1" applyBorder="1" applyAlignment="1" applyProtection="1">
      <alignment horizontal="center" vertical="center" wrapText="1"/>
      <protection locked="0"/>
    </xf>
    <xf numFmtId="0" fontId="6" fillId="39" borderId="10" xfId="0" applyFont="1" applyFill="1" applyBorder="1" applyAlignment="1">
      <alignment horizontal="left" vertical="center"/>
    </xf>
    <xf numFmtId="0" fontId="50" fillId="35" borderId="10" xfId="0" applyFont="1" applyFill="1" applyBorder="1" applyAlignment="1" applyProtection="1">
      <alignment horizontal="center" vertical="center"/>
      <protection hidden="1"/>
    </xf>
    <xf numFmtId="0" fontId="38" fillId="0" borderId="10" xfId="0" applyFont="1" applyBorder="1" applyAlignment="1" applyProtection="1">
      <alignment horizontal="center" textRotation="90" wrapText="1"/>
      <protection hidden="1"/>
    </xf>
    <xf numFmtId="0" fontId="36" fillId="0" borderId="10" xfId="0" applyFont="1" applyBorder="1" applyAlignment="1" applyProtection="1">
      <alignment horizontal="center" vertical="center" wrapText="1"/>
      <protection hidden="1"/>
    </xf>
    <xf numFmtId="0" fontId="6" fillId="36" borderId="10" xfId="0" applyFont="1" applyFill="1" applyBorder="1" applyAlignment="1" applyProtection="1">
      <alignment horizontal="left" vertical="center"/>
      <protection locked="0" hidden="1"/>
    </xf>
    <xf numFmtId="0" fontId="6" fillId="39" borderId="10" xfId="0" applyFont="1" applyFill="1" applyBorder="1" applyAlignment="1" applyProtection="1">
      <alignment horizontal="left" vertical="center"/>
      <protection locked="0"/>
    </xf>
    <xf numFmtId="1" fontId="6" fillId="39" borderId="10" xfId="0" applyNumberFormat="1" applyFont="1" applyFill="1" applyBorder="1" applyAlignment="1" applyProtection="1">
      <alignment horizontal="left" vertical="center"/>
      <protection locked="0"/>
    </xf>
    <xf numFmtId="1" fontId="6" fillId="36" borderId="10" xfId="0" applyNumberFormat="1" applyFont="1" applyFill="1" applyBorder="1" applyAlignment="1" applyProtection="1">
      <alignment horizontal="left" vertical="center"/>
      <protection locked="0"/>
    </xf>
    <xf numFmtId="2" fontId="62" fillId="37" borderId="0" xfId="0" applyNumberFormat="1" applyFont="1" applyFill="1" applyAlignment="1">
      <alignment horizontal="center" vertical="center"/>
    </xf>
    <xf numFmtId="2" fontId="64" fillId="28" borderId="0" xfId="44" applyNumberFormat="1" applyFont="1" applyFill="1" applyBorder="1" applyAlignment="1" applyProtection="1">
      <alignment horizontal="center" vertical="center" wrapText="1"/>
    </xf>
    <xf numFmtId="2" fontId="63" fillId="28" borderId="0" xfId="0" applyNumberFormat="1" applyFont="1" applyFill="1" applyAlignment="1">
      <alignment horizontal="center" vertical="center"/>
    </xf>
    <xf numFmtId="2" fontId="60" fillId="32" borderId="0" xfId="0" applyNumberFormat="1" applyFont="1" applyFill="1" applyAlignment="1">
      <alignment horizontal="center" vertical="center"/>
    </xf>
    <xf numFmtId="2" fontId="43" fillId="27" borderId="11" xfId="0" applyNumberFormat="1" applyFont="1" applyFill="1" applyBorder="1" applyAlignment="1">
      <alignment horizontal="center" vertical="center"/>
    </xf>
    <xf numFmtId="1" fontId="49" fillId="31" borderId="0" xfId="0" applyNumberFormat="1" applyFont="1" applyFill="1" applyAlignment="1">
      <alignment horizontal="center" vertical="center" wrapText="1"/>
    </xf>
    <xf numFmtId="1" fontId="61" fillId="30" borderId="0" xfId="0" applyNumberFormat="1" applyFont="1" applyFill="1" applyAlignment="1">
      <alignment horizontal="center" vertical="center" wrapText="1"/>
    </xf>
    <xf numFmtId="2" fontId="6" fillId="24" borderId="0" xfId="0" applyNumberFormat="1" applyFont="1" applyFill="1" applyAlignment="1">
      <alignment horizontal="right" indent="1"/>
    </xf>
    <xf numFmtId="2" fontId="6" fillId="24" borderId="17" xfId="0" applyNumberFormat="1" applyFont="1" applyFill="1" applyBorder="1" applyAlignment="1">
      <alignment horizontal="right" indent="1"/>
    </xf>
    <xf numFmtId="2" fontId="46" fillId="30" borderId="0" xfId="0" applyNumberFormat="1" applyFont="1" applyFill="1" applyAlignment="1">
      <alignment horizontal="center" vertical="center"/>
    </xf>
    <xf numFmtId="0" fontId="34" fillId="0" borderId="0" xfId="37" applyFont="1" applyAlignment="1" applyProtection="1">
      <alignment horizontal="center" vertical="center" wrapText="1"/>
      <protection hidden="1"/>
    </xf>
    <xf numFmtId="2" fontId="28" fillId="0" borderId="12" xfId="0" applyNumberFormat="1" applyFont="1" applyBorder="1" applyAlignment="1" applyProtection="1">
      <alignment horizontal="left" vertical="center"/>
      <protection hidden="1"/>
    </xf>
    <xf numFmtId="2" fontId="28" fillId="0" borderId="13" xfId="0" applyNumberFormat="1" applyFont="1" applyBorder="1" applyAlignment="1" applyProtection="1">
      <alignment horizontal="left" vertical="center"/>
      <protection hidden="1"/>
    </xf>
    <xf numFmtId="2" fontId="28" fillId="0" borderId="14" xfId="0" applyNumberFormat="1" applyFont="1" applyBorder="1" applyAlignment="1" applyProtection="1">
      <alignment horizontal="left" vertical="center"/>
      <protection hidden="1"/>
    </xf>
    <xf numFmtId="2" fontId="29" fillId="0" borderId="10" xfId="0" applyNumberFormat="1" applyFont="1" applyBorder="1" applyAlignment="1" applyProtection="1">
      <alignment horizontal="left" vertical="center"/>
      <protection hidden="1"/>
    </xf>
    <xf numFmtId="2" fontId="28" fillId="0" borderId="12" xfId="0" applyNumberFormat="1" applyFont="1" applyBorder="1" applyAlignment="1" applyProtection="1">
      <alignment horizontal="right" vertical="center"/>
      <protection hidden="1"/>
    </xf>
    <xf numFmtId="2" fontId="28" fillId="0" borderId="13" xfId="0" applyNumberFormat="1" applyFont="1" applyBorder="1" applyAlignment="1" applyProtection="1">
      <alignment horizontal="right" vertical="center"/>
      <protection hidden="1"/>
    </xf>
    <xf numFmtId="2" fontId="28" fillId="0" borderId="14" xfId="0" applyNumberFormat="1" applyFont="1" applyBorder="1" applyAlignment="1" applyProtection="1">
      <alignment horizontal="right" vertical="center"/>
      <protection hidden="1"/>
    </xf>
    <xf numFmtId="0" fontId="29" fillId="0" borderId="23" xfId="37" applyFont="1" applyBorder="1" applyAlignment="1" applyProtection="1">
      <alignment horizontal="center" vertical="top"/>
      <protection hidden="1"/>
    </xf>
    <xf numFmtId="0" fontId="29" fillId="0" borderId="24" xfId="37" applyFont="1" applyBorder="1" applyAlignment="1" applyProtection="1">
      <alignment horizontal="center" vertical="top"/>
      <protection hidden="1"/>
    </xf>
    <xf numFmtId="0" fontId="29" fillId="0" borderId="25" xfId="37" applyFont="1" applyBorder="1" applyAlignment="1" applyProtection="1">
      <alignment horizontal="center" vertical="top"/>
      <protection hidden="1"/>
    </xf>
    <xf numFmtId="0" fontId="29" fillId="0" borderId="10" xfId="37" applyFont="1" applyBorder="1" applyAlignment="1" applyProtection="1">
      <alignment horizontal="left" vertical="center"/>
      <protection hidden="1"/>
    </xf>
    <xf numFmtId="0" fontId="29" fillId="0" borderId="21" xfId="37" applyFont="1" applyBorder="1" applyAlignment="1" applyProtection="1">
      <alignment horizontal="left" vertical="center"/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0" fontId="33" fillId="0" borderId="12" xfId="37" applyFont="1" applyBorder="1" applyAlignment="1" applyProtection="1">
      <alignment horizontal="center" vertical="center"/>
      <protection hidden="1"/>
    </xf>
    <xf numFmtId="0" fontId="33" fillId="0" borderId="13" xfId="37" applyFont="1" applyBorder="1" applyAlignment="1" applyProtection="1">
      <alignment horizontal="center" vertical="center"/>
      <protection hidden="1"/>
    </xf>
    <xf numFmtId="0" fontId="33" fillId="0" borderId="14" xfId="37" applyFont="1" applyBorder="1" applyAlignment="1" applyProtection="1">
      <alignment horizontal="center" vertical="center"/>
      <protection hidden="1"/>
    </xf>
    <xf numFmtId="0" fontId="30" fillId="0" borderId="12" xfId="37" applyFont="1" applyBorder="1" applyAlignment="1" applyProtection="1">
      <alignment horizontal="center" vertical="center"/>
      <protection hidden="1"/>
    </xf>
    <xf numFmtId="0" fontId="30" fillId="0" borderId="13" xfId="37" applyFont="1" applyBorder="1" applyAlignment="1" applyProtection="1">
      <alignment horizontal="center" vertical="center"/>
      <protection hidden="1"/>
    </xf>
    <xf numFmtId="0" fontId="30" fillId="0" borderId="14" xfId="37" applyFont="1" applyBorder="1" applyAlignment="1" applyProtection="1">
      <alignment horizontal="center" vertical="center"/>
      <protection hidden="1"/>
    </xf>
    <xf numFmtId="9" fontId="30" fillId="0" borderId="10" xfId="37" applyNumberFormat="1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center" vertical="center"/>
      <protection hidden="1"/>
    </xf>
    <xf numFmtId="2" fontId="29" fillId="0" borderId="12" xfId="0" applyNumberFormat="1" applyFont="1" applyBorder="1" applyAlignment="1" applyProtection="1">
      <alignment horizontal="left" vertical="center"/>
      <protection hidden="1"/>
    </xf>
    <xf numFmtId="2" fontId="29" fillId="0" borderId="13" xfId="0" applyNumberFormat="1" applyFont="1" applyBorder="1" applyAlignment="1" applyProtection="1">
      <alignment horizontal="left" vertical="center"/>
      <protection hidden="1"/>
    </xf>
    <xf numFmtId="2" fontId="29" fillId="0" borderId="14" xfId="0" applyNumberFormat="1" applyFont="1" applyBorder="1" applyAlignment="1" applyProtection="1">
      <alignment horizontal="left" vertical="center"/>
      <protection hidden="1"/>
    </xf>
    <xf numFmtId="0" fontId="59" fillId="0" borderId="0" xfId="37" applyFont="1" applyAlignment="1" applyProtection="1">
      <alignment horizontal="center" vertical="top" wrapText="1"/>
      <protection hidden="1"/>
    </xf>
    <xf numFmtId="0" fontId="28" fillId="0" borderId="12" xfId="37" applyFont="1" applyBorder="1" applyAlignment="1" applyProtection="1">
      <alignment horizontal="center" vertical="center" wrapText="1"/>
      <protection hidden="1"/>
    </xf>
    <xf numFmtId="0" fontId="28" fillId="0" borderId="26" xfId="37" applyFont="1" applyBorder="1" applyAlignment="1" applyProtection="1">
      <alignment horizontal="center" vertical="center" wrapText="1"/>
      <protection hidden="1"/>
    </xf>
    <xf numFmtId="0" fontId="29" fillId="0" borderId="10" xfId="37" applyFont="1" applyBorder="1" applyAlignment="1" applyProtection="1">
      <alignment horizontal="center" vertical="center" wrapText="1"/>
      <protection hidden="1"/>
    </xf>
    <xf numFmtId="2" fontId="29" fillId="0" borderId="12" xfId="37" applyNumberFormat="1" applyFont="1" applyBorder="1" applyAlignment="1" applyProtection="1">
      <alignment horizontal="right" vertical="center" wrapText="1"/>
      <protection hidden="1"/>
    </xf>
    <xf numFmtId="2" fontId="29" fillId="0" borderId="26" xfId="37" applyNumberFormat="1" applyFont="1" applyBorder="1" applyAlignment="1" applyProtection="1">
      <alignment horizontal="right" vertical="center" wrapText="1"/>
      <protection hidden="1"/>
    </xf>
    <xf numFmtId="0" fontId="27" fillId="0" borderId="27" xfId="37" applyFont="1" applyBorder="1" applyAlignment="1" applyProtection="1">
      <alignment horizontal="right" vertical="center"/>
      <protection hidden="1"/>
    </xf>
    <xf numFmtId="0" fontId="27" fillId="0" borderId="28" xfId="37" applyFont="1" applyBorder="1" applyAlignment="1" applyProtection="1">
      <alignment horizontal="right" vertical="center"/>
      <protection hidden="1"/>
    </xf>
    <xf numFmtId="0" fontId="29" fillId="0" borderId="12" xfId="37" applyFont="1" applyBorder="1" applyAlignment="1" applyProtection="1">
      <alignment horizontal="left" vertical="center"/>
      <protection hidden="1"/>
    </xf>
    <xf numFmtId="0" fontId="29" fillId="0" borderId="13" xfId="37" applyFont="1" applyBorder="1" applyAlignment="1" applyProtection="1">
      <alignment horizontal="left" vertical="center"/>
      <protection hidden="1"/>
    </xf>
    <xf numFmtId="0" fontId="29" fillId="0" borderId="14" xfId="37" applyFont="1" applyBorder="1" applyAlignment="1" applyProtection="1">
      <alignment horizontal="left" vertical="center"/>
      <protection hidden="1"/>
    </xf>
    <xf numFmtId="0" fontId="74" fillId="0" borderId="10" xfId="37" applyFont="1" applyBorder="1" applyAlignment="1" applyProtection="1">
      <alignment horizontal="center" vertical="center" wrapText="1"/>
      <protection hidden="1"/>
    </xf>
    <xf numFmtId="0" fontId="29" fillId="0" borderId="12" xfId="37" applyFont="1" applyBorder="1" applyAlignment="1" applyProtection="1">
      <alignment horizontal="center" vertical="center" wrapText="1"/>
      <protection hidden="1"/>
    </xf>
    <xf numFmtId="0" fontId="29" fillId="0" borderId="14" xfId="37" applyFont="1" applyBorder="1" applyAlignment="1" applyProtection="1">
      <alignment horizontal="center" vertical="center" wrapText="1"/>
      <protection hidden="1"/>
    </xf>
    <xf numFmtId="0" fontId="29" fillId="0" borderId="18" xfId="37" applyFont="1" applyBorder="1" applyAlignment="1" applyProtection="1">
      <alignment horizontal="center" wrapText="1"/>
      <protection hidden="1"/>
    </xf>
    <xf numFmtId="0" fontId="29" fillId="0" borderId="17" xfId="37" applyFont="1" applyBorder="1" applyAlignment="1" applyProtection="1">
      <alignment horizontal="center" wrapText="1"/>
      <protection hidden="1"/>
    </xf>
    <xf numFmtId="0" fontId="29" fillId="0" borderId="19" xfId="37" applyFont="1" applyBorder="1" applyAlignment="1" applyProtection="1">
      <alignment horizontal="center" wrapText="1"/>
      <protection hidden="1"/>
    </xf>
    <xf numFmtId="0" fontId="29" fillId="0" borderId="16" xfId="37" applyFont="1" applyBorder="1" applyAlignment="1" applyProtection="1">
      <alignment horizontal="center" wrapText="1"/>
      <protection hidden="1"/>
    </xf>
    <xf numFmtId="0" fontId="29" fillId="0" borderId="11" xfId="37" applyFont="1" applyBorder="1" applyAlignment="1" applyProtection="1">
      <alignment horizontal="center" wrapText="1"/>
      <protection hidden="1"/>
    </xf>
    <xf numFmtId="0" fontId="29" fillId="0" borderId="20" xfId="37" applyFont="1" applyBorder="1" applyAlignment="1" applyProtection="1">
      <alignment horizontal="center" wrapText="1"/>
      <protection hidden="1"/>
    </xf>
    <xf numFmtId="0" fontId="53" fillId="0" borderId="10" xfId="37" applyFont="1" applyBorder="1" applyAlignment="1" applyProtection="1">
      <alignment horizontal="left" vertical="top" wrapText="1"/>
      <protection hidden="1"/>
    </xf>
    <xf numFmtId="0" fontId="29" fillId="0" borderId="10" xfId="37" applyFont="1" applyBorder="1" applyAlignment="1" applyProtection="1">
      <alignment horizontal="right" vertical="center"/>
      <protection hidden="1"/>
    </xf>
    <xf numFmtId="0" fontId="30" fillId="0" borderId="12" xfId="37" applyFont="1" applyBorder="1" applyAlignment="1" applyProtection="1">
      <alignment horizontal="left" vertical="top" wrapText="1"/>
      <protection hidden="1"/>
    </xf>
    <xf numFmtId="0" fontId="30" fillId="0" borderId="13" xfId="37" applyFont="1" applyBorder="1" applyAlignment="1" applyProtection="1">
      <alignment horizontal="left" vertical="top" wrapText="1"/>
      <protection hidden="1"/>
    </xf>
    <xf numFmtId="0" fontId="30" fillId="0" borderId="14" xfId="37" applyFont="1" applyBorder="1" applyAlignment="1" applyProtection="1">
      <alignment horizontal="left" vertical="top" wrapText="1"/>
      <protection hidden="1"/>
    </xf>
    <xf numFmtId="0" fontId="33" fillId="0" borderId="10" xfId="37" applyFont="1" applyBorder="1" applyAlignment="1" applyProtection="1">
      <alignment horizontal="left" vertical="center"/>
      <protection hidden="1"/>
    </xf>
    <xf numFmtId="0" fontId="33" fillId="0" borderId="21" xfId="37" applyFont="1" applyBorder="1" applyAlignment="1" applyProtection="1">
      <alignment horizontal="left" vertical="center"/>
      <protection hidden="1"/>
    </xf>
    <xf numFmtId="0" fontId="30" fillId="0" borderId="10" xfId="37" applyFont="1" applyBorder="1" applyAlignment="1" applyProtection="1">
      <alignment horizontal="left" vertical="center" wrapText="1"/>
      <protection hidden="1"/>
    </xf>
    <xf numFmtId="0" fontId="30" fillId="0" borderId="12" xfId="37" applyFont="1" applyBorder="1" applyAlignment="1" applyProtection="1">
      <alignment horizontal="left" vertical="center" wrapText="1"/>
      <protection hidden="1"/>
    </xf>
    <xf numFmtId="0" fontId="30" fillId="0" borderId="13" xfId="37" applyFont="1" applyBorder="1" applyAlignment="1" applyProtection="1">
      <alignment horizontal="left" vertical="center" wrapText="1"/>
      <protection hidden="1"/>
    </xf>
    <xf numFmtId="0" fontId="30" fillId="0" borderId="14" xfId="37" applyFont="1" applyBorder="1" applyAlignment="1" applyProtection="1">
      <alignment horizontal="left" vertical="center" wrapText="1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35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0" fillId="0" borderId="10" xfId="37" applyFont="1" applyBorder="1" applyAlignment="1" applyProtection="1">
      <alignment horizontal="left" vertical="top" wrapText="1"/>
      <protection hidden="1"/>
    </xf>
    <xf numFmtId="0" fontId="25" fillId="0" borderId="10" xfId="37" applyFont="1" applyBorder="1" applyAlignment="1" applyProtection="1">
      <alignment horizontal="left" vertical="top" wrapText="1"/>
      <protection hidden="1"/>
    </xf>
    <xf numFmtId="0" fontId="52" fillId="0" borderId="12" xfId="37" applyFont="1" applyBorder="1" applyAlignment="1" applyProtection="1">
      <alignment horizontal="left" vertical="top" wrapText="1"/>
      <protection hidden="1"/>
    </xf>
    <xf numFmtId="0" fontId="52" fillId="0" borderId="13" xfId="37" applyFont="1" applyBorder="1" applyAlignment="1" applyProtection="1">
      <alignment horizontal="left" vertical="top" wrapText="1"/>
      <protection hidden="1"/>
    </xf>
    <xf numFmtId="0" fontId="52" fillId="0" borderId="14" xfId="37" applyFont="1" applyBorder="1" applyAlignment="1" applyProtection="1">
      <alignment horizontal="left" vertical="top" wrapText="1"/>
      <protection hidden="1"/>
    </xf>
    <xf numFmtId="0" fontId="37" fillId="0" borderId="0" xfId="37" applyFont="1" applyAlignment="1" applyProtection="1">
      <alignment horizontal="center" vertical="center"/>
      <protection hidden="1"/>
    </xf>
    <xf numFmtId="0" fontId="57" fillId="0" borderId="0" xfId="37" applyFont="1" applyAlignment="1" applyProtection="1">
      <alignment horizontal="center" vertical="center"/>
      <protection hidden="1"/>
    </xf>
    <xf numFmtId="0" fontId="29" fillId="0" borderId="31" xfId="37" applyFont="1" applyBorder="1" applyAlignment="1" applyProtection="1">
      <alignment horizontal="left" vertical="center"/>
      <protection hidden="1"/>
    </xf>
    <xf numFmtId="0" fontId="29" fillId="0" borderId="32" xfId="37" applyFont="1" applyBorder="1" applyAlignment="1" applyProtection="1">
      <alignment horizontal="left" vertical="center"/>
      <protection hidden="1"/>
    </xf>
    <xf numFmtId="0" fontId="33" fillId="0" borderId="33" xfId="37" applyFont="1" applyBorder="1" applyAlignment="1" applyProtection="1">
      <alignment horizontal="center" vertical="center"/>
      <protection hidden="1"/>
    </xf>
    <xf numFmtId="0" fontId="33" fillId="0" borderId="34" xfId="37" applyFont="1" applyBorder="1" applyAlignment="1" applyProtection="1">
      <alignment horizontal="center" vertical="center"/>
      <protection hidden="1"/>
    </xf>
    <xf numFmtId="0" fontId="29" fillId="0" borderId="15" xfId="37" applyFont="1" applyBorder="1" applyAlignment="1" applyProtection="1">
      <alignment horizontal="left" vertical="center"/>
      <protection hidden="1"/>
    </xf>
    <xf numFmtId="0" fontId="35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9" fillId="0" borderId="12" xfId="37" applyFont="1" applyBorder="1" applyAlignment="1" applyProtection="1">
      <alignment horizontal="right" vertical="center"/>
      <protection hidden="1"/>
    </xf>
    <xf numFmtId="0" fontId="29" fillId="0" borderId="13" xfId="37" applyFont="1" applyBorder="1" applyAlignment="1" applyProtection="1">
      <alignment horizontal="right" vertical="center"/>
      <protection hidden="1"/>
    </xf>
    <xf numFmtId="0" fontId="29" fillId="0" borderId="14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2" fontId="29" fillId="0" borderId="10" xfId="37" applyNumberFormat="1" applyFont="1" applyBorder="1" applyAlignment="1" applyProtection="1">
      <alignment horizontal="center" vertical="center"/>
      <protection hidden="1"/>
    </xf>
    <xf numFmtId="0" fontId="26" fillId="0" borderId="12" xfId="37" applyFont="1" applyBorder="1" applyAlignment="1" applyProtection="1">
      <alignment horizontal="left" vertical="center"/>
      <protection hidden="1"/>
    </xf>
    <xf numFmtId="0" fontId="33" fillId="0" borderId="32" xfId="38" applyFont="1" applyBorder="1" applyAlignment="1" applyProtection="1">
      <alignment horizontal="left" vertical="center"/>
      <protection hidden="1"/>
    </xf>
    <xf numFmtId="0" fontId="33" fillId="0" borderId="32" xfId="37" applyFont="1" applyBorder="1" applyAlignment="1" applyProtection="1">
      <alignment horizontal="center" vertical="center"/>
      <protection hidden="1"/>
    </xf>
    <xf numFmtId="2" fontId="29" fillId="0" borderId="12" xfId="37" applyNumberFormat="1" applyFont="1" applyBorder="1" applyAlignment="1" applyProtection="1">
      <alignment horizontal="center" vertical="center"/>
      <protection hidden="1"/>
    </xf>
    <xf numFmtId="2" fontId="29" fillId="0" borderId="13" xfId="37" applyNumberFormat="1" applyFont="1" applyBorder="1" applyAlignment="1" applyProtection="1">
      <alignment horizontal="center" vertical="center"/>
      <protection hidden="1"/>
    </xf>
    <xf numFmtId="2" fontId="29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7" xfId="37" applyFont="1" applyBorder="1" applyAlignment="1" applyProtection="1">
      <alignment horizontal="center" vertical="center"/>
      <protection hidden="1"/>
    </xf>
    <xf numFmtId="0" fontId="1" fillId="0" borderId="0" xfId="37" applyFont="1" applyAlignment="1" applyProtection="1">
      <alignment horizontal="center" vertical="center"/>
      <protection hidden="1"/>
    </xf>
    <xf numFmtId="0" fontId="1" fillId="0" borderId="11" xfId="37" applyFont="1" applyBorder="1" applyAlignment="1" applyProtection="1">
      <alignment horizontal="center" vertical="center"/>
      <protection hidden="1"/>
    </xf>
    <xf numFmtId="0" fontId="35" fillId="0" borderId="12" xfId="37" applyFont="1" applyBorder="1" applyAlignment="1" applyProtection="1">
      <alignment horizontal="left" vertical="center"/>
      <protection hidden="1"/>
    </xf>
    <xf numFmtId="0" fontId="35" fillId="0" borderId="13" xfId="37" applyFont="1" applyBorder="1" applyAlignment="1" applyProtection="1">
      <alignment horizontal="left" vertical="center"/>
      <protection hidden="1"/>
    </xf>
    <xf numFmtId="0" fontId="35" fillId="0" borderId="14" xfId="37" applyFont="1" applyBorder="1" applyAlignment="1" applyProtection="1">
      <alignment horizontal="left" vertical="center"/>
      <protection hidden="1"/>
    </xf>
    <xf numFmtId="0" fontId="39" fillId="0" borderId="0" xfId="37" applyFont="1" applyAlignment="1" applyProtection="1">
      <alignment horizontal="center"/>
      <protection hidden="1"/>
    </xf>
    <xf numFmtId="0" fontId="25" fillId="0" borderId="10" xfId="37" applyFont="1" applyBorder="1" applyAlignment="1" applyProtection="1">
      <alignment horizontal="center" vertical="center"/>
      <protection hidden="1"/>
    </xf>
    <xf numFmtId="0" fontId="25" fillId="0" borderId="21" xfId="37" applyFont="1" applyBorder="1" applyAlignment="1" applyProtection="1">
      <alignment horizontal="center" vertical="center"/>
      <protection hidden="1"/>
    </xf>
    <xf numFmtId="0" fontId="35" fillId="0" borderId="12" xfId="37" applyFont="1" applyBorder="1" applyAlignment="1" applyProtection="1">
      <alignment horizontal="center" vertical="top" wrapText="1"/>
      <protection hidden="1"/>
    </xf>
    <xf numFmtId="0" fontId="35" fillId="0" borderId="13" xfId="37" applyFont="1" applyBorder="1" applyAlignment="1" applyProtection="1">
      <alignment horizontal="center" vertical="top" wrapText="1"/>
      <protection hidden="1"/>
    </xf>
    <xf numFmtId="0" fontId="35" fillId="0" borderId="14" xfId="37" applyFont="1" applyBorder="1" applyAlignment="1" applyProtection="1">
      <alignment horizontal="center" vertical="top" wrapText="1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0" fontId="25" fillId="0" borderId="13" xfId="37" applyFont="1" applyBorder="1" applyAlignment="1" applyProtection="1">
      <alignment horizontal="left" vertical="top" wrapText="1"/>
      <protection hidden="1"/>
    </xf>
    <xf numFmtId="0" fontId="25" fillId="0" borderId="14" xfId="37" applyFont="1" applyBorder="1" applyAlignment="1" applyProtection="1">
      <alignment horizontal="left" vertical="top" wrapText="1"/>
      <protection hidden="1"/>
    </xf>
    <xf numFmtId="0" fontId="28" fillId="0" borderId="10" xfId="37" applyFont="1" applyBorder="1" applyAlignment="1" applyProtection="1">
      <alignment horizontal="left" vertical="center"/>
      <protection hidden="1"/>
    </xf>
    <xf numFmtId="0" fontId="28" fillId="0" borderId="21" xfId="37" applyFont="1" applyBorder="1" applyAlignment="1" applyProtection="1">
      <alignment horizontal="left" vertical="center"/>
      <protection hidden="1"/>
    </xf>
    <xf numFmtId="0" fontId="28" fillId="0" borderId="12" xfId="37" applyFont="1" applyBorder="1" applyAlignment="1" applyProtection="1">
      <alignment horizontal="right" vertical="center"/>
      <protection hidden="1"/>
    </xf>
    <xf numFmtId="0" fontId="28" fillId="0" borderId="13" xfId="37" applyFont="1" applyBorder="1" applyAlignment="1" applyProtection="1">
      <alignment horizontal="right" vertical="center"/>
      <protection hidden="1"/>
    </xf>
    <xf numFmtId="0" fontId="28" fillId="0" borderId="14" xfId="37" applyFont="1" applyBorder="1" applyAlignment="1" applyProtection="1">
      <alignment horizontal="right" vertical="center"/>
      <protection hidden="1"/>
    </xf>
    <xf numFmtId="0" fontId="29" fillId="0" borderId="0" xfId="37" applyFont="1" applyAlignment="1" applyProtection="1">
      <alignment horizontal="center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33" fillId="0" borderId="12" xfId="37" applyFont="1" applyBorder="1" applyAlignment="1" applyProtection="1">
      <alignment horizontal="left" vertical="center" wrapText="1"/>
      <protection hidden="1"/>
    </xf>
    <xf numFmtId="0" fontId="33" fillId="0" borderId="13" xfId="37" applyFont="1" applyBorder="1" applyAlignment="1" applyProtection="1">
      <alignment horizontal="left" vertical="center" wrapText="1"/>
      <protection hidden="1"/>
    </xf>
    <xf numFmtId="0" fontId="33" fillId="0" borderId="14" xfId="37" applyFont="1" applyBorder="1" applyAlignment="1" applyProtection="1">
      <alignment horizontal="left" vertical="center" wrapText="1"/>
      <protection hidden="1"/>
    </xf>
    <xf numFmtId="0" fontId="55" fillId="0" borderId="12" xfId="37" applyFont="1" applyBorder="1" applyAlignment="1" applyProtection="1">
      <alignment horizontal="right" vertical="center"/>
      <protection hidden="1"/>
    </xf>
    <xf numFmtId="0" fontId="55" fillId="0" borderId="13" xfId="37" applyFont="1" applyBorder="1" applyAlignment="1" applyProtection="1">
      <alignment horizontal="right" vertical="center"/>
      <protection hidden="1"/>
    </xf>
    <xf numFmtId="0" fontId="55" fillId="0" borderId="14" xfId="37" applyFont="1" applyBorder="1" applyAlignment="1" applyProtection="1">
      <alignment horizontal="right" vertical="center"/>
      <protection hidden="1"/>
    </xf>
    <xf numFmtId="0" fontId="29" fillId="0" borderId="22" xfId="37" applyFont="1" applyBorder="1" applyAlignment="1" applyProtection="1">
      <alignment horizontal="center" vertical="top"/>
      <protection hidden="1"/>
    </xf>
    <xf numFmtId="0" fontId="29" fillId="0" borderId="12" xfId="37" applyFont="1" applyBorder="1" applyAlignment="1" applyProtection="1">
      <alignment horizontal="center" vertical="center"/>
      <protection hidden="1"/>
    </xf>
    <xf numFmtId="0" fontId="29" fillId="0" borderId="13" xfId="37" applyFont="1" applyBorder="1" applyAlignment="1" applyProtection="1">
      <alignment horizontal="center" vertical="center"/>
      <protection hidden="1"/>
    </xf>
    <xf numFmtId="0" fontId="29" fillId="0" borderId="14" xfId="37" applyFont="1" applyBorder="1" applyAlignment="1" applyProtection="1">
      <alignment horizontal="center" vertical="center"/>
      <protection hidden="1"/>
    </xf>
    <xf numFmtId="0" fontId="29" fillId="0" borderId="18" xfId="37" applyFont="1" applyBorder="1" applyAlignment="1" applyProtection="1">
      <alignment horizontal="left" vertical="center" wrapText="1"/>
      <protection hidden="1"/>
    </xf>
    <xf numFmtId="0" fontId="29" fillId="0" borderId="19" xfId="37" applyFont="1" applyBorder="1" applyAlignment="1" applyProtection="1">
      <alignment horizontal="left" vertical="center" wrapText="1"/>
      <protection hidden="1"/>
    </xf>
    <xf numFmtId="0" fontId="29" fillId="0" borderId="16" xfId="37" applyFont="1" applyBorder="1" applyAlignment="1" applyProtection="1">
      <alignment horizontal="left" vertical="center" wrapText="1"/>
      <protection hidden="1"/>
    </xf>
    <xf numFmtId="0" fontId="29" fillId="0" borderId="20" xfId="37" applyFont="1" applyBorder="1" applyAlignment="1" applyProtection="1">
      <alignment horizontal="left" vertical="center" wrapText="1"/>
      <protection hidden="1"/>
    </xf>
    <xf numFmtId="0" fontId="29" fillId="0" borderId="0" xfId="37" applyFont="1" applyAlignment="1">
      <alignment horizontal="center"/>
    </xf>
    <xf numFmtId="2" fontId="28" fillId="0" borderId="12" xfId="0" applyNumberFormat="1" applyFont="1" applyBorder="1" applyAlignment="1" applyProtection="1">
      <alignment horizontal="left" vertical="center" wrapText="1"/>
      <protection hidden="1"/>
    </xf>
    <xf numFmtId="2" fontId="28" fillId="0" borderId="13" xfId="0" applyNumberFormat="1" applyFont="1" applyBorder="1" applyAlignment="1" applyProtection="1">
      <alignment horizontal="left" vertical="center" wrapText="1"/>
      <protection hidden="1"/>
    </xf>
    <xf numFmtId="2" fontId="28" fillId="0" borderId="14" xfId="0" applyNumberFormat="1" applyFont="1" applyBorder="1" applyAlignment="1" applyProtection="1">
      <alignment horizontal="left" vertical="center" wrapText="1"/>
      <protection hidden="1"/>
    </xf>
    <xf numFmtId="2" fontId="28" fillId="0" borderId="10" xfId="0" applyNumberFormat="1" applyFont="1" applyBorder="1" applyAlignment="1" applyProtection="1">
      <alignment horizontal="left" vertical="center"/>
      <protection hidden="1"/>
    </xf>
    <xf numFmtId="9" fontId="30" fillId="0" borderId="12" xfId="37" applyNumberFormat="1" applyFont="1" applyBorder="1" applyAlignment="1" applyProtection="1">
      <alignment horizontal="center" vertical="center"/>
      <protection hidden="1"/>
    </xf>
    <xf numFmtId="9" fontId="30" fillId="0" borderId="14" xfId="37" applyNumberFormat="1" applyFont="1" applyBorder="1" applyAlignment="1" applyProtection="1">
      <alignment horizontal="center" vertical="center"/>
      <protection hidden="1"/>
    </xf>
    <xf numFmtId="0" fontId="59" fillId="0" borderId="0" xfId="37" applyFont="1" applyAlignment="1">
      <alignment horizontal="center" vertical="top" wrapText="1"/>
    </xf>
    <xf numFmtId="0" fontId="34" fillId="0" borderId="0" xfId="37" applyFont="1" applyAlignment="1">
      <alignment horizontal="center" vertical="center" wrapText="1"/>
    </xf>
    <xf numFmtId="0" fontId="39" fillId="0" borderId="0" xfId="37" applyFont="1" applyAlignment="1">
      <alignment horizontal="center"/>
    </xf>
    <xf numFmtId="0" fontId="28" fillId="0" borderId="18" xfId="37" applyFont="1" applyBorder="1" applyAlignment="1" applyProtection="1">
      <alignment horizontal="center" wrapText="1"/>
      <protection hidden="1"/>
    </xf>
    <xf numFmtId="0" fontId="28" fillId="0" borderId="17" xfId="37" applyFont="1" applyBorder="1" applyAlignment="1" applyProtection="1">
      <alignment horizontal="center" wrapText="1"/>
      <protection hidden="1"/>
    </xf>
    <xf numFmtId="0" fontId="28" fillId="0" borderId="19" xfId="37" applyFont="1" applyBorder="1" applyAlignment="1" applyProtection="1">
      <alignment horizontal="center" wrapText="1"/>
      <protection hidden="1"/>
    </xf>
    <xf numFmtId="0" fontId="28" fillId="0" borderId="16" xfId="37" applyFont="1" applyBorder="1" applyAlignment="1" applyProtection="1">
      <alignment horizontal="center" wrapText="1"/>
      <protection hidden="1"/>
    </xf>
    <xf numFmtId="0" fontId="28" fillId="0" borderId="11" xfId="37" applyFont="1" applyBorder="1" applyAlignment="1" applyProtection="1">
      <alignment horizontal="center" wrapText="1"/>
      <protection hidden="1"/>
    </xf>
    <xf numFmtId="0" fontId="28" fillId="0" borderId="20" xfId="37" applyFont="1" applyBorder="1" applyAlignment="1" applyProtection="1">
      <alignment horizontal="center" wrapText="1"/>
      <protection hidden="1"/>
    </xf>
    <xf numFmtId="0" fontId="56" fillId="0" borderId="10" xfId="37" applyFont="1" applyBorder="1" applyAlignment="1" applyProtection="1">
      <alignment horizontal="center" vertical="center" wrapText="1"/>
      <protection hidden="1"/>
    </xf>
    <xf numFmtId="0" fontId="28" fillId="0" borderId="14" xfId="37" applyFont="1" applyBorder="1" applyAlignment="1" applyProtection="1">
      <alignment horizontal="center" vertical="center" wrapText="1"/>
      <protection hidden="1"/>
    </xf>
    <xf numFmtId="0" fontId="76" fillId="0" borderId="12" xfId="37" applyFont="1" applyBorder="1" applyAlignment="1" applyProtection="1">
      <alignment horizontal="left" vertical="center" wrapText="1"/>
      <protection hidden="1"/>
    </xf>
    <xf numFmtId="0" fontId="76" fillId="0" borderId="13" xfId="37" applyFont="1" applyBorder="1" applyAlignment="1" applyProtection="1">
      <alignment horizontal="left" vertical="center" wrapText="1"/>
      <protection hidden="1"/>
    </xf>
    <xf numFmtId="0" fontId="76" fillId="0" borderId="14" xfId="37" applyFont="1" applyBorder="1" applyAlignment="1" applyProtection="1">
      <alignment horizontal="left" vertical="center" wrapText="1"/>
      <protection hidden="1"/>
    </xf>
    <xf numFmtId="0" fontId="30" fillId="0" borderId="12" xfId="37" applyFont="1" applyBorder="1" applyAlignment="1" applyProtection="1">
      <alignment horizontal="left" vertical="center"/>
      <protection hidden="1"/>
    </xf>
    <xf numFmtId="0" fontId="30" fillId="0" borderId="13" xfId="37" applyFont="1" applyBorder="1" applyAlignment="1" applyProtection="1">
      <alignment horizontal="left" vertical="center"/>
      <protection hidden="1"/>
    </xf>
    <xf numFmtId="0" fontId="30" fillId="0" borderId="14" xfId="37" applyFont="1" applyBorder="1" applyAlignment="1" applyProtection="1">
      <alignment horizontal="left" vertical="center"/>
      <protection hidden="1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6000000}"/>
    <cellStyle name="Normal 3" xfId="45" xr:uid="{00000000-0005-0000-0000-000027000000}"/>
    <cellStyle name="Normal_pay 2008-09" xfId="38" xr:uid="{00000000-0005-0000-0000-000028000000}"/>
    <cellStyle name="Note" xfId="39" builtinId="10" customBuiltin="1"/>
    <cellStyle name="Output" xfId="40" builtinId="21" customBuiltin="1"/>
    <cellStyle name="Percent" xfId="46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FFFF00"/>
      <color rgb="FF33CCCC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246529</xdr:colOff>
      <xdr:row>94</xdr:row>
      <xdr:rowOff>33618</xdr:rowOff>
    </xdr:from>
    <xdr:to>
      <xdr:col>18</xdr:col>
      <xdr:colOff>334409</xdr:colOff>
      <xdr:row>98</xdr:row>
      <xdr:rowOff>145677</xdr:rowOff>
    </xdr:to>
    <xdr:pic>
      <xdr:nvPicPr>
        <xdr:cNvPr id="11" name="Picture 10" descr="RAJTEACHERS.NET-removebg-preview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16705" y="9973236"/>
          <a:ext cx="3023822" cy="739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C00000"/>
  </sheetPr>
  <dimension ref="A1:AH99"/>
  <sheetViews>
    <sheetView showGridLines="0" tabSelected="1" zoomScale="85" zoomScaleNormal="85" workbookViewId="0">
      <selection activeCell="E2" sqref="E2:F2"/>
    </sheetView>
  </sheetViews>
  <sheetFormatPr defaultColWidth="0" defaultRowHeight="12.75" zeroHeight="1"/>
  <cols>
    <col min="1" max="1" width="0.28515625" style="21" customWidth="1" collapsed="1"/>
    <col min="2" max="2" width="11.7109375" style="3" hidden="1" customWidth="1" collapsed="1"/>
    <col min="3" max="3" width="14.5703125" style="3" customWidth="1" collapsed="1"/>
    <col min="4" max="4" width="9.42578125" style="3" customWidth="1" collapsed="1"/>
    <col min="5" max="7" width="5" style="3" customWidth="1" collapsed="1"/>
    <col min="8" max="8" width="8.85546875" style="3" customWidth="1" collapsed="1"/>
    <col min="9" max="9" width="9.42578125" style="3" customWidth="1" collapsed="1"/>
    <col min="10" max="10" width="5" style="3" customWidth="1" collapsed="1"/>
    <col min="11" max="12" width="6" style="3" customWidth="1" collapsed="1"/>
    <col min="13" max="13" width="10.140625" style="3" customWidth="1"/>
    <col min="14" max="14" width="6" style="3" customWidth="1" collapsed="1"/>
    <col min="15" max="15" width="11" style="3" customWidth="1" collapsed="1"/>
    <col min="16" max="16" width="8.7109375" style="3" customWidth="1" collapsed="1"/>
    <col min="17" max="17" width="9.7109375" style="3" customWidth="1"/>
    <col min="18" max="18" width="8.5703125" style="3" customWidth="1" collapsed="1"/>
    <col min="19" max="19" width="8.85546875" style="3" customWidth="1" collapsed="1"/>
    <col min="20" max="20" width="8.28515625" style="3" customWidth="1" collapsed="1"/>
    <col min="21" max="21" width="6.7109375" style="3" bestFit="1" customWidth="1" collapsed="1"/>
    <col min="22" max="23" width="6" style="3" customWidth="1" collapsed="1"/>
    <col min="24" max="24" width="8.42578125" style="3" customWidth="1" collapsed="1"/>
    <col min="25" max="25" width="6" style="3" customWidth="1" collapsed="1"/>
    <col min="26" max="26" width="10.5703125" style="3" customWidth="1" collapsed="1"/>
    <col min="27" max="27" width="12.42578125" style="3" customWidth="1" collapsed="1"/>
    <col min="28" max="28" width="15.5703125" style="3" customWidth="1" collapsed="1"/>
    <col min="29" max="29" width="8.140625" style="3" hidden="1" customWidth="1"/>
    <col min="30" max="30" width="9.140625" style="3" hidden="1" customWidth="1"/>
    <col min="31" max="34" width="0" style="3" hidden="1" customWidth="1"/>
    <col min="35" max="16384" width="9.140625" style="3" hidden="1" collapsed="1"/>
  </cols>
  <sheetData>
    <row r="1" spans="3:30" ht="3.75" customHeight="1"/>
    <row r="2" spans="3:30" ht="39" customHeight="1">
      <c r="C2" s="164" t="s">
        <v>156</v>
      </c>
      <c r="D2" s="164"/>
      <c r="E2" s="165" t="s">
        <v>36</v>
      </c>
      <c r="F2" s="165"/>
      <c r="G2" s="166" t="s">
        <v>37</v>
      </c>
      <c r="H2" s="166"/>
      <c r="I2" s="96">
        <v>0.1</v>
      </c>
      <c r="J2" s="164" t="s">
        <v>157</v>
      </c>
      <c r="K2" s="164"/>
      <c r="L2" s="164"/>
      <c r="M2" s="164"/>
      <c r="N2" s="164"/>
      <c r="O2" s="164"/>
      <c r="P2" s="167" t="s">
        <v>159</v>
      </c>
      <c r="Q2" s="167"/>
      <c r="R2" s="167"/>
      <c r="S2" s="168" t="s">
        <v>160</v>
      </c>
      <c r="T2" s="168"/>
      <c r="U2" s="98" t="s">
        <v>177</v>
      </c>
      <c r="V2" s="169" t="s">
        <v>184</v>
      </c>
      <c r="W2" s="169"/>
      <c r="X2" s="106" t="s">
        <v>43</v>
      </c>
      <c r="Y2" s="170" t="s">
        <v>222</v>
      </c>
      <c r="Z2" s="170"/>
      <c r="AA2" s="170"/>
      <c r="AB2" s="97">
        <v>61500</v>
      </c>
      <c r="AC2" s="81">
        <v>0.09</v>
      </c>
      <c r="AD2" s="75">
        <v>0.18</v>
      </c>
    </row>
    <row r="3" spans="3:30" hidden="1"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</row>
    <row r="4" spans="3:30" hidden="1"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 t="str">
        <f>T4&amp;" / "&amp;U4</f>
        <v>TPTA / L-1</v>
      </c>
      <c r="T4" s="74" t="s">
        <v>158</v>
      </c>
      <c r="U4" s="85" t="s">
        <v>164</v>
      </c>
      <c r="V4" s="74">
        <v>1350</v>
      </c>
      <c r="W4" s="74"/>
      <c r="X4" s="74"/>
      <c r="Y4" s="74"/>
      <c r="Z4" s="74"/>
      <c r="AA4" s="74"/>
      <c r="AB4" s="74"/>
    </row>
    <row r="5" spans="3:30" hidden="1"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 t="str">
        <f t="shared" ref="S5:S63" si="0">T5&amp;" / "&amp;U5</f>
        <v>TPTA / L-2</v>
      </c>
      <c r="T5" s="74" t="s">
        <v>158</v>
      </c>
      <c r="U5" s="85" t="s">
        <v>165</v>
      </c>
      <c r="V5" s="74">
        <v>1350</v>
      </c>
      <c r="W5" s="74"/>
      <c r="X5" s="74"/>
      <c r="Y5" s="74"/>
      <c r="Z5" s="74"/>
      <c r="AA5" s="74"/>
      <c r="AB5" s="74">
        <f>VLOOKUP(P2&amp;" / "&amp;U2,S3:V63,4,0)</f>
        <v>3600</v>
      </c>
    </row>
    <row r="6" spans="3:30" hidden="1"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 t="str">
        <f t="shared" si="0"/>
        <v>TPTA / L-3</v>
      </c>
      <c r="T6" s="74" t="s">
        <v>158</v>
      </c>
      <c r="U6" s="85" t="s">
        <v>166</v>
      </c>
      <c r="V6" s="74">
        <v>3600</v>
      </c>
      <c r="W6" s="74"/>
      <c r="X6" s="74"/>
      <c r="Y6" s="74"/>
      <c r="Z6" s="74"/>
      <c r="AA6" s="74"/>
      <c r="AB6" s="74"/>
    </row>
    <row r="7" spans="3:30" hidden="1"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 t="str">
        <f t="shared" si="0"/>
        <v>TPTA / L-4</v>
      </c>
      <c r="T7" s="74" t="s">
        <v>158</v>
      </c>
      <c r="U7" s="85" t="s">
        <v>167</v>
      </c>
      <c r="V7" s="74">
        <v>3600</v>
      </c>
      <c r="W7" s="74"/>
      <c r="X7" s="74"/>
      <c r="Y7" s="74"/>
      <c r="Z7" s="74"/>
      <c r="AA7" s="74"/>
      <c r="AB7" s="74"/>
    </row>
    <row r="8" spans="3:30" hidden="1"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 t="str">
        <f t="shared" si="0"/>
        <v>TPTA / L-5</v>
      </c>
      <c r="T8" s="74" t="s">
        <v>158</v>
      </c>
      <c r="U8" s="85" t="s">
        <v>168</v>
      </c>
      <c r="V8" s="74">
        <v>3600</v>
      </c>
      <c r="W8" s="74"/>
      <c r="X8" s="74"/>
      <c r="Y8" s="74"/>
      <c r="Z8" s="74"/>
      <c r="AA8" s="74"/>
      <c r="AB8" s="74"/>
    </row>
    <row r="9" spans="3:30" hidden="1"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 t="str">
        <f t="shared" si="0"/>
        <v>TPTA / L-6</v>
      </c>
      <c r="T9" s="74" t="s">
        <v>158</v>
      </c>
      <c r="U9" s="85" t="s">
        <v>169</v>
      </c>
      <c r="V9" s="74">
        <v>3600</v>
      </c>
      <c r="W9" s="74"/>
      <c r="X9" s="74"/>
      <c r="Y9" s="74"/>
      <c r="Z9" s="74"/>
      <c r="AA9" s="74"/>
      <c r="AB9" s="74"/>
    </row>
    <row r="10" spans="3:30" hidden="1"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 t="str">
        <f t="shared" si="0"/>
        <v>TPTA / L-7</v>
      </c>
      <c r="T10" s="74" t="s">
        <v>158</v>
      </c>
      <c r="U10" s="85" t="s">
        <v>170</v>
      </c>
      <c r="V10" s="74">
        <v>3600</v>
      </c>
      <c r="W10" s="74"/>
      <c r="X10" s="74"/>
      <c r="Y10" s="74"/>
      <c r="Z10" s="74"/>
      <c r="AA10" s="74"/>
      <c r="AB10" s="74"/>
    </row>
    <row r="11" spans="3:30" hidden="1"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 t="str">
        <f t="shared" si="0"/>
        <v>TPTA / L-8</v>
      </c>
      <c r="T11" s="74" t="s">
        <v>158</v>
      </c>
      <c r="U11" s="85" t="s">
        <v>171</v>
      </c>
      <c r="V11" s="74">
        <v>3600</v>
      </c>
      <c r="W11" s="74"/>
      <c r="X11" s="74"/>
      <c r="Y11" s="74"/>
      <c r="Z11" s="74"/>
      <c r="AA11" s="74"/>
      <c r="AB11" s="74"/>
    </row>
    <row r="12" spans="3:30" hidden="1"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 t="str">
        <f t="shared" si="0"/>
        <v>TPTA / L-9</v>
      </c>
      <c r="T12" s="74" t="s">
        <v>158</v>
      </c>
      <c r="U12" s="85" t="s">
        <v>172</v>
      </c>
      <c r="V12" s="74">
        <v>7200</v>
      </c>
      <c r="W12" s="74"/>
      <c r="X12" s="74"/>
      <c r="Y12" s="74"/>
      <c r="Z12" s="74"/>
      <c r="AA12" s="74"/>
      <c r="AB12" s="74"/>
    </row>
    <row r="13" spans="3:30" hidden="1"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 t="str">
        <f t="shared" si="0"/>
        <v>TPTA / L-10</v>
      </c>
      <c r="T13" s="74" t="s">
        <v>158</v>
      </c>
      <c r="U13" s="85" t="s">
        <v>173</v>
      </c>
      <c r="V13" s="74">
        <v>7200</v>
      </c>
      <c r="W13" s="74"/>
      <c r="X13" s="74"/>
      <c r="Y13" s="74"/>
      <c r="Z13" s="74"/>
      <c r="AA13" s="74"/>
      <c r="AB13" s="74"/>
    </row>
    <row r="14" spans="3:30" hidden="1"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 t="str">
        <f t="shared" si="0"/>
        <v>TPTA / L-11</v>
      </c>
      <c r="T14" s="74" t="s">
        <v>158</v>
      </c>
      <c r="U14" s="85" t="s">
        <v>174</v>
      </c>
      <c r="V14" s="74">
        <v>7200</v>
      </c>
      <c r="W14" s="74"/>
      <c r="X14" s="74"/>
      <c r="Y14" s="74"/>
      <c r="Z14" s="74"/>
      <c r="AA14" s="74"/>
      <c r="AB14" s="74"/>
    </row>
    <row r="15" spans="3:30" hidden="1"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 t="str">
        <f t="shared" si="0"/>
        <v>TPTA / L-12</v>
      </c>
      <c r="T15" s="74" t="s">
        <v>158</v>
      </c>
      <c r="U15" s="85" t="s">
        <v>175</v>
      </c>
      <c r="V15" s="74">
        <v>7200</v>
      </c>
      <c r="W15" s="74"/>
      <c r="X15" s="74"/>
      <c r="Y15" s="74"/>
      <c r="Z15" s="74"/>
      <c r="AA15" s="74"/>
      <c r="AB15" s="74"/>
    </row>
    <row r="16" spans="3:30" hidden="1"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 t="str">
        <f t="shared" si="0"/>
        <v>TPTA / L-13</v>
      </c>
      <c r="T16" s="74" t="s">
        <v>158</v>
      </c>
      <c r="U16" s="85" t="s">
        <v>176</v>
      </c>
      <c r="V16" s="74">
        <v>7200</v>
      </c>
      <c r="W16" s="74"/>
      <c r="X16" s="74"/>
      <c r="Y16" s="74"/>
      <c r="Z16" s="74"/>
      <c r="AA16" s="74"/>
      <c r="AB16" s="74"/>
    </row>
    <row r="17" spans="3:28" hidden="1"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 t="str">
        <f t="shared" si="0"/>
        <v>TPTA / L-14</v>
      </c>
      <c r="T17" s="74" t="s">
        <v>158</v>
      </c>
      <c r="U17" s="85" t="s">
        <v>177</v>
      </c>
      <c r="V17" s="74">
        <v>7200</v>
      </c>
      <c r="W17" s="74"/>
      <c r="X17" s="74"/>
      <c r="Y17" s="74"/>
      <c r="Z17" s="74"/>
      <c r="AA17" s="74"/>
      <c r="AB17" s="74"/>
    </row>
    <row r="18" spans="3:28" hidden="1"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 t="str">
        <f t="shared" si="0"/>
        <v>TPTA / L-15</v>
      </c>
      <c r="T18" s="74" t="s">
        <v>158</v>
      </c>
      <c r="U18" s="85" t="s">
        <v>178</v>
      </c>
      <c r="V18" s="74">
        <v>7200</v>
      </c>
      <c r="W18" s="74"/>
      <c r="X18" s="74"/>
      <c r="Y18" s="74"/>
      <c r="Z18" s="74"/>
      <c r="AA18" s="74"/>
      <c r="AB18" s="74"/>
    </row>
    <row r="19" spans="3:28" hidden="1"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 t="str">
        <f t="shared" si="0"/>
        <v>TPTA / L-16</v>
      </c>
      <c r="T19" s="74" t="s">
        <v>158</v>
      </c>
      <c r="U19" s="85" t="s">
        <v>179</v>
      </c>
      <c r="V19" s="74">
        <v>7200</v>
      </c>
      <c r="W19" s="74"/>
      <c r="X19" s="74"/>
      <c r="Y19" s="74"/>
      <c r="Z19" s="74"/>
      <c r="AA19" s="74"/>
      <c r="AB19" s="74"/>
    </row>
    <row r="20" spans="3:28" hidden="1"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 t="str">
        <f t="shared" si="0"/>
        <v>TPTA / L-17</v>
      </c>
      <c r="T20" s="74" t="s">
        <v>158</v>
      </c>
      <c r="U20" s="85" t="s">
        <v>180</v>
      </c>
      <c r="V20" s="74">
        <v>7200</v>
      </c>
      <c r="W20" s="74"/>
      <c r="X20" s="74"/>
      <c r="Y20" s="74"/>
      <c r="Z20" s="74"/>
      <c r="AA20" s="74"/>
      <c r="AB20" s="74"/>
    </row>
    <row r="21" spans="3:28" hidden="1"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 t="str">
        <f t="shared" si="0"/>
        <v>TPTA / L-18</v>
      </c>
      <c r="T21" s="74" t="s">
        <v>158</v>
      </c>
      <c r="U21" s="85" t="s">
        <v>181</v>
      </c>
      <c r="V21" s="74">
        <v>7200</v>
      </c>
      <c r="W21" s="74"/>
      <c r="X21" s="74"/>
      <c r="Y21" s="74"/>
      <c r="Z21" s="74"/>
      <c r="AA21" s="74"/>
      <c r="AB21" s="74"/>
    </row>
    <row r="22" spans="3:28" hidden="1"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 t="str">
        <f t="shared" si="0"/>
        <v>TPTA / L-19</v>
      </c>
      <c r="T22" s="74" t="s">
        <v>158</v>
      </c>
      <c r="U22" s="85" t="s">
        <v>182</v>
      </c>
      <c r="V22" s="74">
        <v>7200</v>
      </c>
      <c r="W22" s="74"/>
      <c r="X22" s="74"/>
      <c r="Y22" s="74"/>
      <c r="Z22" s="74"/>
      <c r="AA22" s="74"/>
      <c r="AB22" s="74"/>
    </row>
    <row r="23" spans="3:28" hidden="1"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 t="str">
        <f t="shared" si="0"/>
        <v>TPTA / L-20</v>
      </c>
      <c r="T23" s="74" t="s">
        <v>158</v>
      </c>
      <c r="U23" s="85" t="s">
        <v>183</v>
      </c>
      <c r="V23" s="74">
        <v>7200</v>
      </c>
      <c r="W23" s="74"/>
      <c r="X23" s="74"/>
      <c r="Y23" s="74"/>
      <c r="Z23" s="74"/>
      <c r="AA23" s="74"/>
      <c r="AB23" s="74"/>
    </row>
    <row r="24" spans="3:28" hidden="1"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 t="str">
        <f t="shared" si="0"/>
        <v>OTHER / L-1</v>
      </c>
      <c r="T24" s="74" t="s">
        <v>159</v>
      </c>
      <c r="U24" s="85" t="s">
        <v>164</v>
      </c>
      <c r="V24" s="74">
        <v>900</v>
      </c>
      <c r="W24" s="74"/>
      <c r="X24" s="74"/>
      <c r="Y24" s="74"/>
      <c r="Z24" s="74"/>
      <c r="AA24" s="74"/>
      <c r="AB24" s="74"/>
    </row>
    <row r="25" spans="3:28" hidden="1"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 t="str">
        <f t="shared" si="0"/>
        <v>OTHER / L-2</v>
      </c>
      <c r="T25" s="74" t="s">
        <v>159</v>
      </c>
      <c r="U25" s="85" t="s">
        <v>165</v>
      </c>
      <c r="V25" s="74">
        <v>900</v>
      </c>
      <c r="W25" s="74"/>
      <c r="X25" s="74"/>
      <c r="Y25" s="74"/>
      <c r="Z25" s="74"/>
      <c r="AA25" s="74"/>
      <c r="AB25" s="74"/>
    </row>
    <row r="26" spans="3:28" hidden="1"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 t="str">
        <f t="shared" si="0"/>
        <v>OTHER / L-3</v>
      </c>
      <c r="T26" s="74" t="s">
        <v>159</v>
      </c>
      <c r="U26" s="85" t="s">
        <v>166</v>
      </c>
      <c r="V26" s="74">
        <v>1800</v>
      </c>
      <c r="W26" s="74"/>
      <c r="X26" s="74"/>
      <c r="Y26" s="74"/>
      <c r="Z26" s="74"/>
      <c r="AA26" s="74"/>
      <c r="AB26" s="74"/>
    </row>
    <row r="27" spans="3:28" hidden="1"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 t="str">
        <f t="shared" si="0"/>
        <v>OTHER / L-4</v>
      </c>
      <c r="T27" s="74" t="s">
        <v>159</v>
      </c>
      <c r="U27" s="85" t="s">
        <v>167</v>
      </c>
      <c r="V27" s="74">
        <v>1800</v>
      </c>
      <c r="W27" s="74"/>
      <c r="X27" s="74"/>
      <c r="Y27" s="74"/>
      <c r="Z27" s="74"/>
      <c r="AA27" s="74"/>
      <c r="AB27" s="74"/>
    </row>
    <row r="28" spans="3:28" hidden="1"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 t="str">
        <f t="shared" si="0"/>
        <v>OTHER / L-5</v>
      </c>
      <c r="T28" s="74" t="s">
        <v>159</v>
      </c>
      <c r="U28" s="85" t="s">
        <v>168</v>
      </c>
      <c r="V28" s="74">
        <v>1800</v>
      </c>
      <c r="W28" s="74"/>
      <c r="X28" s="74"/>
      <c r="Y28" s="74"/>
      <c r="Z28" s="74"/>
      <c r="AA28" s="74"/>
      <c r="AB28" s="74"/>
    </row>
    <row r="29" spans="3:28" hidden="1"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 t="str">
        <f t="shared" si="0"/>
        <v>OTHER / L-6</v>
      </c>
      <c r="T29" s="74" t="s">
        <v>159</v>
      </c>
      <c r="U29" s="85" t="s">
        <v>169</v>
      </c>
      <c r="V29" s="74">
        <v>1800</v>
      </c>
      <c r="W29" s="74"/>
      <c r="X29" s="74"/>
      <c r="Y29" s="74"/>
      <c r="Z29" s="74"/>
      <c r="AA29" s="74"/>
      <c r="AB29" s="74"/>
    </row>
    <row r="30" spans="3:28" hidden="1"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 t="str">
        <f t="shared" si="0"/>
        <v>OTHER / L-7</v>
      </c>
      <c r="T30" s="74" t="s">
        <v>159</v>
      </c>
      <c r="U30" s="85" t="s">
        <v>170</v>
      </c>
      <c r="V30" s="74">
        <v>1800</v>
      </c>
      <c r="W30" s="74"/>
      <c r="X30" s="74"/>
      <c r="Y30" s="74"/>
      <c r="Z30" s="74"/>
      <c r="AA30" s="74"/>
      <c r="AB30" s="74"/>
    </row>
    <row r="31" spans="3:28" hidden="1"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 t="str">
        <f t="shared" si="0"/>
        <v>OTHER / L-8</v>
      </c>
      <c r="T31" s="74" t="s">
        <v>159</v>
      </c>
      <c r="U31" s="85" t="s">
        <v>171</v>
      </c>
      <c r="V31" s="74">
        <v>1800</v>
      </c>
      <c r="W31" s="74"/>
      <c r="X31" s="74"/>
      <c r="Y31" s="74"/>
      <c r="Z31" s="74"/>
      <c r="AA31" s="74"/>
      <c r="AB31" s="74"/>
    </row>
    <row r="32" spans="3:28" hidden="1"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 t="str">
        <f t="shared" si="0"/>
        <v>OTHER / L-9</v>
      </c>
      <c r="T32" s="74" t="s">
        <v>159</v>
      </c>
      <c r="U32" s="85" t="s">
        <v>172</v>
      </c>
      <c r="V32" s="74">
        <v>3600</v>
      </c>
      <c r="W32" s="74"/>
      <c r="X32" s="74"/>
      <c r="Y32" s="74"/>
      <c r="Z32" s="74"/>
      <c r="AA32" s="74"/>
      <c r="AB32" s="74"/>
    </row>
    <row r="33" spans="3:30" hidden="1">
      <c r="C33" s="74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 t="str">
        <f t="shared" si="0"/>
        <v>OTHER / L-10</v>
      </c>
      <c r="T33" s="74" t="s">
        <v>159</v>
      </c>
      <c r="U33" s="85" t="s">
        <v>173</v>
      </c>
      <c r="V33" s="74">
        <v>3600</v>
      </c>
      <c r="W33" s="74"/>
      <c r="X33" s="74"/>
      <c r="Y33" s="74"/>
      <c r="Z33" s="74"/>
      <c r="AA33" s="74"/>
      <c r="AB33" s="74"/>
    </row>
    <row r="34" spans="3:30" hidden="1"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 t="str">
        <f t="shared" si="0"/>
        <v>OTHER / L-11</v>
      </c>
      <c r="T34" s="74" t="s">
        <v>159</v>
      </c>
      <c r="U34" s="85" t="s">
        <v>174</v>
      </c>
      <c r="V34" s="74">
        <v>3600</v>
      </c>
      <c r="W34" s="74"/>
      <c r="X34" s="74"/>
      <c r="Y34" s="74"/>
      <c r="Z34" s="74"/>
      <c r="AA34" s="74"/>
      <c r="AB34" s="74"/>
    </row>
    <row r="35" spans="3:30" hidden="1"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 t="str">
        <f t="shared" si="0"/>
        <v>OTHER / L-12</v>
      </c>
      <c r="T35" s="74" t="s">
        <v>159</v>
      </c>
      <c r="U35" s="85" t="s">
        <v>175</v>
      </c>
      <c r="V35" s="74">
        <v>3600</v>
      </c>
      <c r="W35" s="74"/>
      <c r="X35" s="74"/>
      <c r="Y35" s="74"/>
      <c r="Z35" s="74"/>
      <c r="AA35" s="74"/>
      <c r="AB35" s="74"/>
    </row>
    <row r="36" spans="3:30" hidden="1"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 t="str">
        <f t="shared" si="0"/>
        <v>OTHER / L-13</v>
      </c>
      <c r="T36" s="74" t="s">
        <v>159</v>
      </c>
      <c r="U36" s="85" t="s">
        <v>176</v>
      </c>
      <c r="V36" s="74">
        <v>3600</v>
      </c>
      <c r="W36" s="74"/>
      <c r="X36" s="74"/>
      <c r="Y36" s="74"/>
      <c r="Z36" s="74"/>
      <c r="AA36" s="74"/>
      <c r="AB36" s="74"/>
    </row>
    <row r="37" spans="3:30" hidden="1"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 t="str">
        <f t="shared" si="0"/>
        <v>OTHER / L-14</v>
      </c>
      <c r="T37" s="74" t="s">
        <v>159</v>
      </c>
      <c r="U37" s="85" t="s">
        <v>177</v>
      </c>
      <c r="V37" s="74">
        <v>3600</v>
      </c>
      <c r="W37" s="74"/>
      <c r="X37" s="74"/>
      <c r="Y37" s="74"/>
      <c r="Z37" s="74"/>
      <c r="AA37" s="74"/>
      <c r="AB37" s="74"/>
    </row>
    <row r="38" spans="3:30" hidden="1"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 t="str">
        <f t="shared" si="0"/>
        <v>OTHER / L-15</v>
      </c>
      <c r="T38" s="74" t="s">
        <v>159</v>
      </c>
      <c r="U38" s="85" t="s">
        <v>178</v>
      </c>
      <c r="V38" s="74">
        <v>3600</v>
      </c>
      <c r="W38" s="74"/>
      <c r="X38" s="74"/>
      <c r="Y38" s="74"/>
      <c r="Z38" s="74"/>
      <c r="AA38" s="74"/>
      <c r="AB38" s="74"/>
    </row>
    <row r="39" spans="3:30" hidden="1"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 t="str">
        <f t="shared" si="0"/>
        <v>OTHER / L-16</v>
      </c>
      <c r="T39" s="74" t="s">
        <v>159</v>
      </c>
      <c r="U39" s="85" t="s">
        <v>179</v>
      </c>
      <c r="V39" s="74">
        <v>3600</v>
      </c>
      <c r="W39" s="74"/>
      <c r="X39" s="74"/>
      <c r="Y39" s="74"/>
      <c r="Z39" s="74"/>
      <c r="AA39" s="74"/>
      <c r="AB39" s="74"/>
    </row>
    <row r="40" spans="3:30" hidden="1"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 t="str">
        <f t="shared" si="0"/>
        <v>OTHER / L-17</v>
      </c>
      <c r="T40" s="74" t="s">
        <v>159</v>
      </c>
      <c r="U40" s="85" t="s">
        <v>180</v>
      </c>
      <c r="V40" s="74">
        <v>3600</v>
      </c>
      <c r="W40" s="74"/>
      <c r="X40" s="74"/>
      <c r="Y40" s="74"/>
      <c r="Z40" s="74"/>
      <c r="AA40" s="74"/>
      <c r="AB40" s="74"/>
    </row>
    <row r="41" spans="3:30" hidden="1"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 t="str">
        <f t="shared" si="0"/>
        <v>OTHER / L-18</v>
      </c>
      <c r="T41" s="74" t="s">
        <v>159</v>
      </c>
      <c r="U41" s="85" t="s">
        <v>181</v>
      </c>
      <c r="V41" s="74">
        <v>3600</v>
      </c>
      <c r="W41" s="74"/>
      <c r="X41" s="74"/>
      <c r="Y41" s="74"/>
      <c r="Z41" s="74"/>
      <c r="AA41" s="74"/>
      <c r="AB41" s="74"/>
    </row>
    <row r="42" spans="3:30" hidden="1"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 t="str">
        <f t="shared" si="0"/>
        <v>OTHER / L-19</v>
      </c>
      <c r="T42" s="74" t="s">
        <v>159</v>
      </c>
      <c r="U42" s="85" t="s">
        <v>182</v>
      </c>
      <c r="V42" s="74">
        <v>3600</v>
      </c>
      <c r="W42" s="74"/>
      <c r="X42" s="74"/>
      <c r="Y42" s="74"/>
      <c r="Z42" s="74"/>
      <c r="AA42" s="74"/>
      <c r="AB42" s="74"/>
    </row>
    <row r="43" spans="3:30" hidden="1"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 t="str">
        <f t="shared" si="0"/>
        <v>OTHER / L-20</v>
      </c>
      <c r="T43" s="74" t="s">
        <v>159</v>
      </c>
      <c r="U43" s="85" t="s">
        <v>183</v>
      </c>
      <c r="V43" s="74">
        <v>3600</v>
      </c>
      <c r="W43" s="74"/>
      <c r="X43" s="74"/>
      <c r="Y43" s="74"/>
      <c r="Z43" s="74"/>
      <c r="AA43" s="74"/>
      <c r="AB43" s="74"/>
    </row>
    <row r="44" spans="3:30" hidden="1"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 t="str">
        <f t="shared" si="0"/>
        <v>Not Allowed / L-1</v>
      </c>
      <c r="T44" s="74" t="s">
        <v>185</v>
      </c>
      <c r="U44" s="85" t="s">
        <v>164</v>
      </c>
      <c r="V44" s="74">
        <v>0</v>
      </c>
      <c r="W44" s="74"/>
      <c r="X44" s="74"/>
      <c r="Y44" s="74"/>
      <c r="Z44" s="74"/>
      <c r="AA44" s="74"/>
      <c r="AB44" s="74"/>
    </row>
    <row r="45" spans="3:30" hidden="1"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 t="str">
        <f t="shared" si="0"/>
        <v>Not Allowed / L-2</v>
      </c>
      <c r="T45" s="74" t="s">
        <v>185</v>
      </c>
      <c r="U45" s="85" t="s">
        <v>165</v>
      </c>
      <c r="V45" s="74">
        <v>0</v>
      </c>
      <c r="W45" s="74"/>
      <c r="X45" s="74"/>
      <c r="Y45" s="74"/>
      <c r="Z45" s="74"/>
      <c r="AA45" s="74"/>
      <c r="AB45" s="74"/>
    </row>
    <row r="46" spans="3:30" hidden="1"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 t="str">
        <f t="shared" si="0"/>
        <v>Not Allowed / L-3</v>
      </c>
      <c r="T46" s="74" t="s">
        <v>185</v>
      </c>
      <c r="U46" s="85" t="s">
        <v>166</v>
      </c>
      <c r="V46" s="74">
        <v>0</v>
      </c>
      <c r="W46" s="74"/>
      <c r="X46" s="74"/>
      <c r="Y46" s="74"/>
      <c r="Z46" s="74"/>
      <c r="AA46" s="74"/>
      <c r="AB46" s="74"/>
    </row>
    <row r="47" spans="3:30" hidden="1"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 t="str">
        <f t="shared" si="0"/>
        <v>Not Allowed / L-4</v>
      </c>
      <c r="T47" s="74" t="s">
        <v>185</v>
      </c>
      <c r="U47" s="85" t="s">
        <v>167</v>
      </c>
      <c r="V47" s="74">
        <v>0</v>
      </c>
      <c r="W47" s="74"/>
      <c r="X47" s="74"/>
      <c r="Y47" s="74"/>
      <c r="Z47" s="74"/>
      <c r="AA47" s="74"/>
      <c r="AB47" s="74"/>
    </row>
    <row r="48" spans="3:30" s="82" customFormat="1" ht="15" hidden="1" customHeight="1">
      <c r="C48" s="86"/>
      <c r="D48" s="86"/>
      <c r="E48" s="87"/>
      <c r="F48" s="87"/>
      <c r="G48" s="88"/>
      <c r="H48" s="88"/>
      <c r="I48" s="89"/>
      <c r="J48" s="86"/>
      <c r="K48" s="86"/>
      <c r="L48" s="86"/>
      <c r="M48" s="86"/>
      <c r="N48" s="86"/>
      <c r="O48" s="86"/>
      <c r="P48" s="90"/>
      <c r="Q48" s="90"/>
      <c r="R48" s="90"/>
      <c r="S48" s="74" t="str">
        <f t="shared" si="0"/>
        <v>Not Allowed / L-5</v>
      </c>
      <c r="T48" s="74" t="s">
        <v>185</v>
      </c>
      <c r="U48" s="85" t="s">
        <v>168</v>
      </c>
      <c r="V48" s="74">
        <v>0</v>
      </c>
      <c r="W48" s="91"/>
      <c r="X48" s="92"/>
      <c r="Y48" s="93"/>
      <c r="Z48" s="93"/>
      <c r="AA48" s="93"/>
      <c r="AB48" s="94"/>
      <c r="AC48" s="83"/>
      <c r="AD48" s="84"/>
    </row>
    <row r="49" spans="3:30" s="82" customFormat="1" ht="15" hidden="1" customHeight="1">
      <c r="C49" s="86"/>
      <c r="D49" s="86"/>
      <c r="E49" s="87"/>
      <c r="F49" s="87"/>
      <c r="G49" s="88"/>
      <c r="H49" s="88"/>
      <c r="I49" s="89"/>
      <c r="J49" s="86"/>
      <c r="K49" s="86"/>
      <c r="L49" s="86"/>
      <c r="M49" s="86"/>
      <c r="N49" s="86"/>
      <c r="O49" s="86"/>
      <c r="P49" s="90"/>
      <c r="Q49" s="90"/>
      <c r="R49" s="90"/>
      <c r="S49" s="74" t="str">
        <f t="shared" si="0"/>
        <v>Not Allowed / L-6</v>
      </c>
      <c r="T49" s="74" t="s">
        <v>185</v>
      </c>
      <c r="U49" s="85" t="s">
        <v>169</v>
      </c>
      <c r="V49" s="74">
        <v>0</v>
      </c>
      <c r="W49" s="91"/>
      <c r="X49" s="92"/>
      <c r="Y49" s="93"/>
      <c r="Z49" s="93"/>
      <c r="AA49" s="93"/>
      <c r="AB49" s="94"/>
      <c r="AC49" s="83"/>
      <c r="AD49" s="84"/>
    </row>
    <row r="50" spans="3:30" s="82" customFormat="1" ht="15" hidden="1" customHeight="1">
      <c r="C50" s="86"/>
      <c r="D50" s="86"/>
      <c r="E50" s="87"/>
      <c r="F50" s="87"/>
      <c r="G50" s="88"/>
      <c r="H50" s="88"/>
      <c r="I50" s="89"/>
      <c r="J50" s="86"/>
      <c r="K50" s="86"/>
      <c r="L50" s="86"/>
      <c r="M50" s="86"/>
      <c r="N50" s="86"/>
      <c r="O50" s="86"/>
      <c r="P50" s="90"/>
      <c r="Q50" s="90"/>
      <c r="R50" s="90"/>
      <c r="S50" s="74" t="str">
        <f t="shared" si="0"/>
        <v>Not Allowed / L-7</v>
      </c>
      <c r="T50" s="74" t="s">
        <v>185</v>
      </c>
      <c r="U50" s="85" t="s">
        <v>170</v>
      </c>
      <c r="V50" s="74">
        <v>0</v>
      </c>
      <c r="W50" s="91"/>
      <c r="X50" s="92"/>
      <c r="Y50" s="93"/>
      <c r="Z50" s="93"/>
      <c r="AA50" s="93"/>
      <c r="AB50" s="94"/>
      <c r="AC50" s="83"/>
      <c r="AD50" s="84"/>
    </row>
    <row r="51" spans="3:30" s="82" customFormat="1" ht="15" hidden="1" customHeight="1">
      <c r="C51" s="86"/>
      <c r="D51" s="86"/>
      <c r="E51" s="87"/>
      <c r="F51" s="87"/>
      <c r="G51" s="88"/>
      <c r="H51" s="88"/>
      <c r="I51" s="89"/>
      <c r="J51" s="86"/>
      <c r="K51" s="86"/>
      <c r="L51" s="86"/>
      <c r="M51" s="86"/>
      <c r="N51" s="86"/>
      <c r="O51" s="86"/>
      <c r="P51" s="90"/>
      <c r="Q51" s="90"/>
      <c r="R51" s="90"/>
      <c r="S51" s="74" t="str">
        <f t="shared" si="0"/>
        <v>Not Allowed / L-8</v>
      </c>
      <c r="T51" s="74" t="s">
        <v>185</v>
      </c>
      <c r="U51" s="85" t="s">
        <v>171</v>
      </c>
      <c r="V51" s="74">
        <v>0</v>
      </c>
      <c r="W51" s="91"/>
      <c r="X51" s="92"/>
      <c r="Y51" s="93"/>
      <c r="Z51" s="93"/>
      <c r="AA51" s="93"/>
      <c r="AB51" s="94"/>
      <c r="AC51" s="83"/>
      <c r="AD51" s="84"/>
    </row>
    <row r="52" spans="3:30" s="82" customFormat="1" ht="15" hidden="1" customHeight="1">
      <c r="C52" s="86"/>
      <c r="D52" s="86"/>
      <c r="E52" s="87"/>
      <c r="F52" s="87"/>
      <c r="G52" s="88"/>
      <c r="H52" s="88"/>
      <c r="I52" s="89"/>
      <c r="J52" s="86"/>
      <c r="K52" s="86"/>
      <c r="L52" s="86"/>
      <c r="M52" s="86"/>
      <c r="N52" s="86"/>
      <c r="O52" s="86"/>
      <c r="P52" s="90"/>
      <c r="Q52" s="90"/>
      <c r="R52" s="90"/>
      <c r="S52" s="74" t="str">
        <f t="shared" si="0"/>
        <v>Not Allowed / L-9</v>
      </c>
      <c r="T52" s="74" t="s">
        <v>185</v>
      </c>
      <c r="U52" s="85" t="s">
        <v>172</v>
      </c>
      <c r="V52" s="74">
        <v>0</v>
      </c>
      <c r="W52" s="91"/>
      <c r="X52" s="92"/>
      <c r="Y52" s="93"/>
      <c r="Z52" s="93"/>
      <c r="AA52" s="93"/>
      <c r="AB52" s="94"/>
      <c r="AC52" s="83"/>
      <c r="AD52" s="84"/>
    </row>
    <row r="53" spans="3:30" s="82" customFormat="1" ht="15" hidden="1" customHeight="1">
      <c r="C53" s="86"/>
      <c r="D53" s="86"/>
      <c r="E53" s="87"/>
      <c r="F53" s="87"/>
      <c r="G53" s="88"/>
      <c r="H53" s="88"/>
      <c r="I53" s="89"/>
      <c r="J53" s="86"/>
      <c r="K53" s="86"/>
      <c r="L53" s="86"/>
      <c r="M53" s="86"/>
      <c r="N53" s="86"/>
      <c r="O53" s="86"/>
      <c r="P53" s="90"/>
      <c r="Q53" s="90"/>
      <c r="R53" s="90"/>
      <c r="S53" s="74" t="str">
        <f t="shared" si="0"/>
        <v>Not Allowed / L-10</v>
      </c>
      <c r="T53" s="74" t="s">
        <v>185</v>
      </c>
      <c r="U53" s="85" t="s">
        <v>173</v>
      </c>
      <c r="V53" s="74">
        <v>0</v>
      </c>
      <c r="W53" s="91"/>
      <c r="X53" s="92"/>
      <c r="Y53" s="93"/>
      <c r="Z53" s="93"/>
      <c r="AA53" s="93"/>
      <c r="AB53" s="94"/>
      <c r="AC53" s="83"/>
      <c r="AD53" s="84"/>
    </row>
    <row r="54" spans="3:30" s="82" customFormat="1" ht="15" hidden="1" customHeight="1">
      <c r="C54" s="86"/>
      <c r="D54" s="86"/>
      <c r="E54" s="87"/>
      <c r="F54" s="87"/>
      <c r="G54" s="88"/>
      <c r="H54" s="88"/>
      <c r="I54" s="89"/>
      <c r="J54" s="86"/>
      <c r="K54" s="86"/>
      <c r="L54" s="86"/>
      <c r="M54" s="86"/>
      <c r="N54" s="86"/>
      <c r="O54" s="86"/>
      <c r="P54" s="90"/>
      <c r="Q54" s="90"/>
      <c r="R54" s="90"/>
      <c r="S54" s="74" t="str">
        <f t="shared" si="0"/>
        <v>Not Allowed / L-11</v>
      </c>
      <c r="T54" s="74" t="s">
        <v>185</v>
      </c>
      <c r="U54" s="85" t="s">
        <v>174</v>
      </c>
      <c r="V54" s="74">
        <v>0</v>
      </c>
      <c r="W54" s="91"/>
      <c r="X54" s="92"/>
      <c r="Y54" s="93"/>
      <c r="Z54" s="93"/>
      <c r="AA54" s="93"/>
      <c r="AB54" s="94"/>
      <c r="AC54" s="83"/>
      <c r="AD54" s="84"/>
    </row>
    <row r="55" spans="3:30" s="82" customFormat="1" ht="15" hidden="1" customHeight="1">
      <c r="C55" s="86"/>
      <c r="D55" s="86"/>
      <c r="E55" s="87"/>
      <c r="F55" s="87"/>
      <c r="G55" s="88"/>
      <c r="H55" s="88"/>
      <c r="I55" s="89"/>
      <c r="J55" s="86"/>
      <c r="K55" s="86"/>
      <c r="L55" s="86"/>
      <c r="M55" s="86"/>
      <c r="N55" s="86"/>
      <c r="O55" s="86"/>
      <c r="P55" s="90"/>
      <c r="Q55" s="90"/>
      <c r="R55" s="90"/>
      <c r="S55" s="74" t="str">
        <f t="shared" si="0"/>
        <v>Not Allowed / L-12</v>
      </c>
      <c r="T55" s="74" t="s">
        <v>185</v>
      </c>
      <c r="U55" s="85" t="s">
        <v>175</v>
      </c>
      <c r="V55" s="74">
        <v>0</v>
      </c>
      <c r="W55" s="91"/>
      <c r="X55" s="92"/>
      <c r="Y55" s="93"/>
      <c r="Z55" s="93"/>
      <c r="AA55" s="93"/>
      <c r="AB55" s="94"/>
      <c r="AC55" s="83"/>
      <c r="AD55" s="84"/>
    </row>
    <row r="56" spans="3:30" s="82" customFormat="1" ht="15" hidden="1" customHeight="1">
      <c r="C56" s="86"/>
      <c r="D56" s="86"/>
      <c r="E56" s="87"/>
      <c r="F56" s="87"/>
      <c r="G56" s="88"/>
      <c r="H56" s="88"/>
      <c r="I56" s="89"/>
      <c r="J56" s="86"/>
      <c r="K56" s="86"/>
      <c r="L56" s="86"/>
      <c r="M56" s="86"/>
      <c r="N56" s="86"/>
      <c r="O56" s="86"/>
      <c r="P56" s="90"/>
      <c r="Q56" s="90"/>
      <c r="R56" s="90"/>
      <c r="S56" s="74" t="str">
        <f t="shared" si="0"/>
        <v>Not Allowed / L-13</v>
      </c>
      <c r="T56" s="74" t="s">
        <v>185</v>
      </c>
      <c r="U56" s="85" t="s">
        <v>176</v>
      </c>
      <c r="V56" s="74">
        <v>0</v>
      </c>
      <c r="W56" s="91"/>
      <c r="X56" s="92"/>
      <c r="Y56" s="93"/>
      <c r="Z56" s="93"/>
      <c r="AA56" s="93"/>
      <c r="AB56" s="94"/>
      <c r="AC56" s="83"/>
      <c r="AD56" s="84"/>
    </row>
    <row r="57" spans="3:30" s="82" customFormat="1" ht="15" hidden="1" customHeight="1">
      <c r="C57" s="86"/>
      <c r="D57" s="86"/>
      <c r="E57" s="87"/>
      <c r="F57" s="87"/>
      <c r="G57" s="88"/>
      <c r="H57" s="88"/>
      <c r="I57" s="89"/>
      <c r="J57" s="86"/>
      <c r="K57" s="86"/>
      <c r="L57" s="86"/>
      <c r="M57" s="86"/>
      <c r="N57" s="86"/>
      <c r="O57" s="86"/>
      <c r="P57" s="90"/>
      <c r="Q57" s="90"/>
      <c r="R57" s="90"/>
      <c r="S57" s="74" t="str">
        <f t="shared" si="0"/>
        <v>Not Allowed / L-14</v>
      </c>
      <c r="T57" s="74" t="s">
        <v>185</v>
      </c>
      <c r="U57" s="85" t="s">
        <v>177</v>
      </c>
      <c r="V57" s="74">
        <v>0</v>
      </c>
      <c r="W57" s="91"/>
      <c r="X57" s="92"/>
      <c r="Y57" s="93"/>
      <c r="Z57" s="93"/>
      <c r="AA57" s="93"/>
      <c r="AB57" s="94"/>
      <c r="AC57" s="83"/>
      <c r="AD57" s="84"/>
    </row>
    <row r="58" spans="3:30" s="82" customFormat="1" ht="15" hidden="1" customHeight="1">
      <c r="C58" s="86"/>
      <c r="D58" s="86"/>
      <c r="E58" s="87"/>
      <c r="F58" s="87"/>
      <c r="G58" s="88"/>
      <c r="H58" s="88"/>
      <c r="I58" s="89"/>
      <c r="J58" s="86"/>
      <c r="K58" s="86"/>
      <c r="L58" s="86"/>
      <c r="M58" s="86"/>
      <c r="N58" s="86"/>
      <c r="O58" s="86"/>
      <c r="P58" s="90"/>
      <c r="Q58" s="90"/>
      <c r="R58" s="90"/>
      <c r="S58" s="74" t="str">
        <f t="shared" si="0"/>
        <v>Not Allowed / L-15</v>
      </c>
      <c r="T58" s="74" t="s">
        <v>185</v>
      </c>
      <c r="U58" s="85" t="s">
        <v>178</v>
      </c>
      <c r="V58" s="74">
        <v>0</v>
      </c>
      <c r="W58" s="91"/>
      <c r="X58" s="92"/>
      <c r="Y58" s="93"/>
      <c r="Z58" s="93"/>
      <c r="AA58" s="93"/>
      <c r="AB58" s="94"/>
      <c r="AC58" s="83"/>
      <c r="AD58" s="84"/>
    </row>
    <row r="59" spans="3:30" s="82" customFormat="1" ht="15" hidden="1" customHeight="1">
      <c r="C59" s="86"/>
      <c r="D59" s="86"/>
      <c r="E59" s="87"/>
      <c r="F59" s="87"/>
      <c r="G59" s="88"/>
      <c r="H59" s="88"/>
      <c r="I59" s="89"/>
      <c r="J59" s="86"/>
      <c r="K59" s="86"/>
      <c r="L59" s="86"/>
      <c r="M59" s="86"/>
      <c r="N59" s="86"/>
      <c r="O59" s="86"/>
      <c r="P59" s="90"/>
      <c r="Q59" s="90"/>
      <c r="R59" s="90"/>
      <c r="S59" s="74" t="str">
        <f t="shared" si="0"/>
        <v>Not Allowed / L-16</v>
      </c>
      <c r="T59" s="74" t="s">
        <v>185</v>
      </c>
      <c r="U59" s="85" t="s">
        <v>179</v>
      </c>
      <c r="V59" s="74">
        <v>0</v>
      </c>
      <c r="W59" s="91"/>
      <c r="X59" s="92"/>
      <c r="Y59" s="93"/>
      <c r="Z59" s="93"/>
      <c r="AA59" s="93"/>
      <c r="AB59" s="94"/>
      <c r="AC59" s="83"/>
      <c r="AD59" s="84"/>
    </row>
    <row r="60" spans="3:30" s="82" customFormat="1" ht="15" hidden="1" customHeight="1">
      <c r="C60" s="86"/>
      <c r="D60" s="86"/>
      <c r="E60" s="87"/>
      <c r="F60" s="87"/>
      <c r="G60" s="88"/>
      <c r="H60" s="88"/>
      <c r="I60" s="89"/>
      <c r="J60" s="86"/>
      <c r="K60" s="86"/>
      <c r="L60" s="86"/>
      <c r="M60" s="86"/>
      <c r="N60" s="86"/>
      <c r="O60" s="86"/>
      <c r="P60" s="90"/>
      <c r="Q60" s="90"/>
      <c r="R60" s="90"/>
      <c r="S60" s="74" t="str">
        <f t="shared" si="0"/>
        <v>Not Allowed / L-17</v>
      </c>
      <c r="T60" s="74" t="s">
        <v>185</v>
      </c>
      <c r="U60" s="85" t="s">
        <v>180</v>
      </c>
      <c r="V60" s="74">
        <v>0</v>
      </c>
      <c r="W60" s="91"/>
      <c r="X60" s="92"/>
      <c r="Y60" s="93"/>
      <c r="Z60" s="93"/>
      <c r="AA60" s="93"/>
      <c r="AB60" s="94"/>
      <c r="AC60" s="83"/>
      <c r="AD60" s="84"/>
    </row>
    <row r="61" spans="3:30" s="82" customFormat="1" ht="15" hidden="1" customHeight="1">
      <c r="C61" s="86"/>
      <c r="D61" s="86"/>
      <c r="E61" s="87"/>
      <c r="F61" s="87"/>
      <c r="G61" s="88"/>
      <c r="H61" s="88"/>
      <c r="I61" s="89"/>
      <c r="J61" s="86"/>
      <c r="K61" s="86"/>
      <c r="L61" s="86"/>
      <c r="M61" s="86"/>
      <c r="N61" s="86"/>
      <c r="O61" s="86"/>
      <c r="P61" s="90"/>
      <c r="Q61" s="90"/>
      <c r="R61" s="90"/>
      <c r="S61" s="74" t="str">
        <f t="shared" si="0"/>
        <v>Not Allowed / L-18</v>
      </c>
      <c r="T61" s="74" t="s">
        <v>185</v>
      </c>
      <c r="U61" s="85" t="s">
        <v>181</v>
      </c>
      <c r="V61" s="74">
        <v>0</v>
      </c>
      <c r="W61" s="91"/>
      <c r="X61" s="92"/>
      <c r="Y61" s="93"/>
      <c r="Z61" s="93"/>
      <c r="AA61" s="93"/>
      <c r="AB61" s="94"/>
      <c r="AC61" s="83"/>
      <c r="AD61" s="84"/>
    </row>
    <row r="62" spans="3:30" s="82" customFormat="1" ht="15" hidden="1" customHeight="1">
      <c r="C62" s="86"/>
      <c r="D62" s="86"/>
      <c r="E62" s="87"/>
      <c r="F62" s="87"/>
      <c r="G62" s="88"/>
      <c r="H62" s="88"/>
      <c r="I62" s="89"/>
      <c r="J62" s="86"/>
      <c r="K62" s="86"/>
      <c r="L62" s="86"/>
      <c r="M62" s="86"/>
      <c r="N62" s="86"/>
      <c r="O62" s="86"/>
      <c r="P62" s="90"/>
      <c r="Q62" s="90"/>
      <c r="R62" s="90"/>
      <c r="S62" s="74" t="str">
        <f t="shared" si="0"/>
        <v>Not Allowed / L-19</v>
      </c>
      <c r="T62" s="74" t="s">
        <v>185</v>
      </c>
      <c r="U62" s="85" t="s">
        <v>182</v>
      </c>
      <c r="V62" s="74">
        <v>0</v>
      </c>
      <c r="W62" s="91"/>
      <c r="X62" s="92"/>
      <c r="Y62" s="93"/>
      <c r="Z62" s="93"/>
      <c r="AA62" s="93"/>
      <c r="AB62" s="94"/>
      <c r="AC62" s="83"/>
      <c r="AD62" s="84"/>
    </row>
    <row r="63" spans="3:30" s="82" customFormat="1" ht="15" hidden="1" customHeight="1">
      <c r="C63" s="86"/>
      <c r="D63" s="86"/>
      <c r="E63" s="87"/>
      <c r="F63" s="87"/>
      <c r="G63" s="88"/>
      <c r="H63" s="88"/>
      <c r="I63" s="89"/>
      <c r="J63" s="86"/>
      <c r="K63" s="86"/>
      <c r="L63" s="86"/>
      <c r="M63" s="86"/>
      <c r="N63" s="86"/>
      <c r="O63" s="86"/>
      <c r="P63" s="90"/>
      <c r="Q63" s="90"/>
      <c r="R63" s="90"/>
      <c r="S63" s="74" t="str">
        <f t="shared" si="0"/>
        <v>Not Allowed / L-20</v>
      </c>
      <c r="T63" s="74" t="s">
        <v>185</v>
      </c>
      <c r="U63" s="85" t="s">
        <v>183</v>
      </c>
      <c r="V63" s="74">
        <v>0</v>
      </c>
      <c r="W63" s="91"/>
      <c r="X63" s="92"/>
      <c r="Y63" s="93"/>
      <c r="Z63" s="93"/>
      <c r="AA63" s="93"/>
      <c r="AB63" s="94"/>
      <c r="AC63" s="83"/>
      <c r="AD63" s="84"/>
    </row>
    <row r="64" spans="3:30" s="82" customFormat="1" ht="15" hidden="1" customHeight="1">
      <c r="C64" s="86"/>
      <c r="D64" s="86"/>
      <c r="E64" s="87"/>
      <c r="F64" s="87"/>
      <c r="G64" s="88"/>
      <c r="H64" s="88"/>
      <c r="I64" s="89"/>
      <c r="J64" s="86"/>
      <c r="K64" s="86"/>
      <c r="L64" s="86"/>
      <c r="M64" s="86"/>
      <c r="N64" s="86"/>
      <c r="O64" s="86"/>
      <c r="P64" s="90"/>
      <c r="Q64" s="90"/>
      <c r="R64" s="90"/>
      <c r="S64" s="95"/>
      <c r="T64" s="95"/>
      <c r="U64" s="85"/>
      <c r="V64" s="91"/>
      <c r="W64" s="91"/>
      <c r="X64" s="92"/>
      <c r="Y64" s="93"/>
      <c r="Z64" s="93"/>
      <c r="AA64" s="93"/>
      <c r="AB64" s="94"/>
      <c r="AC64" s="83"/>
      <c r="AD64" s="84"/>
    </row>
    <row r="65" spans="1:30" ht="18.75" hidden="1" customHeight="1">
      <c r="C65" s="164"/>
      <c r="D65" s="164"/>
      <c r="E65" s="164"/>
      <c r="F65" s="164"/>
      <c r="G65" s="164"/>
      <c r="H65" s="164"/>
      <c r="I65" s="164"/>
      <c r="J65" s="164"/>
      <c r="K65" s="164"/>
      <c r="L65" s="164"/>
      <c r="M65" s="164"/>
      <c r="N65" s="164"/>
      <c r="O65" s="164"/>
      <c r="P65" s="164"/>
      <c r="Q65" s="164"/>
      <c r="R65" s="164"/>
      <c r="S65" s="164"/>
      <c r="T65" s="164"/>
      <c r="U65" s="164"/>
      <c r="V65" s="164"/>
      <c r="W65" s="164"/>
      <c r="X65" s="164"/>
      <c r="Y65" s="164"/>
      <c r="Z65" s="164"/>
      <c r="AA65" s="164"/>
      <c r="AB65" s="164"/>
      <c r="AC65" s="81"/>
      <c r="AD65" s="75"/>
    </row>
    <row r="66" spans="1:30" ht="48" customHeight="1">
      <c r="C66" s="174" t="s">
        <v>213</v>
      </c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  <c r="AA66" s="174"/>
      <c r="AB66" s="174"/>
      <c r="AC66" s="76" t="s">
        <v>43</v>
      </c>
      <c r="AD66" s="77" t="s">
        <v>43</v>
      </c>
    </row>
    <row r="67" spans="1:30" ht="48" customHeight="1">
      <c r="C67" s="163" t="s">
        <v>221</v>
      </c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76" t="s">
        <v>36</v>
      </c>
      <c r="AD67" s="77" t="s">
        <v>36</v>
      </c>
    </row>
    <row r="68" spans="1:30" ht="27" customHeight="1">
      <c r="C68" s="175" t="s">
        <v>145</v>
      </c>
      <c r="D68" s="175"/>
      <c r="E68" s="162" t="s">
        <v>155</v>
      </c>
      <c r="F68" s="162"/>
      <c r="G68" s="162"/>
      <c r="H68" s="162"/>
      <c r="I68" s="162"/>
      <c r="J68" s="162"/>
      <c r="K68" s="175" t="s">
        <v>45</v>
      </c>
      <c r="L68" s="175"/>
      <c r="M68" s="175"/>
      <c r="N68" s="175"/>
      <c r="O68" s="162" t="s">
        <v>163</v>
      </c>
      <c r="P68" s="162"/>
      <c r="Q68" s="162"/>
      <c r="R68" s="162"/>
      <c r="S68" s="162"/>
      <c r="T68" s="162"/>
      <c r="U68" s="162"/>
      <c r="V68" s="180" t="s">
        <v>161</v>
      </c>
      <c r="W68" s="180"/>
      <c r="X68" s="180"/>
      <c r="Y68" s="179">
        <v>123456789</v>
      </c>
      <c r="Z68" s="179"/>
      <c r="AA68" s="109" t="s">
        <v>148</v>
      </c>
      <c r="AB68" s="107" t="s">
        <v>153</v>
      </c>
      <c r="AC68" s="99" t="s">
        <v>158</v>
      </c>
      <c r="AD68" s="79"/>
    </row>
    <row r="69" spans="1:30" s="14" customFormat="1" ht="20.45" customHeight="1">
      <c r="A69" s="24"/>
      <c r="C69" s="175" t="s">
        <v>146</v>
      </c>
      <c r="D69" s="175"/>
      <c r="E69" s="182">
        <v>21719</v>
      </c>
      <c r="F69" s="182"/>
      <c r="G69" s="182"/>
      <c r="H69" s="182"/>
      <c r="I69" s="182"/>
      <c r="J69" s="182"/>
      <c r="K69" s="175" t="s">
        <v>147</v>
      </c>
      <c r="L69" s="175"/>
      <c r="M69" s="175"/>
      <c r="N69" s="175"/>
      <c r="O69" s="162" t="s">
        <v>162</v>
      </c>
      <c r="P69" s="162"/>
      <c r="Q69" s="162"/>
      <c r="R69" s="162"/>
      <c r="S69" s="162"/>
      <c r="T69" s="162"/>
      <c r="U69" s="162"/>
      <c r="V69" s="181" t="s">
        <v>211</v>
      </c>
      <c r="W69" s="181"/>
      <c r="X69" s="181"/>
      <c r="Y69" s="179">
        <v>9784379510</v>
      </c>
      <c r="Z69" s="179"/>
      <c r="AA69" s="110" t="s">
        <v>149</v>
      </c>
      <c r="AB69" s="111" t="s">
        <v>153</v>
      </c>
      <c r="AC69" s="99" t="s">
        <v>159</v>
      </c>
      <c r="AD69" s="78"/>
    </row>
    <row r="70" spans="1:30" s="14" customFormat="1" ht="22.5" customHeight="1">
      <c r="A70" s="24"/>
      <c r="C70" s="176" t="s">
        <v>47</v>
      </c>
      <c r="D70" s="176"/>
      <c r="E70" s="176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 t="s">
        <v>48</v>
      </c>
      <c r="Q70" s="176"/>
      <c r="R70" s="176"/>
      <c r="S70" s="176"/>
      <c r="T70" s="176"/>
      <c r="U70" s="176"/>
      <c r="V70" s="176"/>
      <c r="W70" s="176"/>
      <c r="X70" s="176"/>
      <c r="Y70" s="176"/>
      <c r="Z70" s="176"/>
      <c r="AA70" s="177" t="s">
        <v>51</v>
      </c>
      <c r="AB70" s="178" t="s">
        <v>42</v>
      </c>
      <c r="AC70" s="80" t="s">
        <v>185</v>
      </c>
      <c r="AD70" s="80"/>
    </row>
    <row r="71" spans="1:30" s="11" customFormat="1" ht="108.75" customHeight="1">
      <c r="A71" s="25"/>
      <c r="C71" s="108" t="s">
        <v>7</v>
      </c>
      <c r="D71" s="159" t="s">
        <v>1</v>
      </c>
      <c r="E71" s="159" t="s">
        <v>2</v>
      </c>
      <c r="F71" s="159" t="s">
        <v>29</v>
      </c>
      <c r="G71" s="159" t="s">
        <v>14</v>
      </c>
      <c r="H71" s="159" t="s">
        <v>15</v>
      </c>
      <c r="I71" s="159" t="s">
        <v>37</v>
      </c>
      <c r="J71" s="159" t="s">
        <v>33</v>
      </c>
      <c r="K71" s="159" t="s">
        <v>46</v>
      </c>
      <c r="L71" s="159" t="s">
        <v>49</v>
      </c>
      <c r="M71" s="160" t="s">
        <v>187</v>
      </c>
      <c r="N71" s="159" t="s">
        <v>186</v>
      </c>
      <c r="O71" s="161" t="s">
        <v>32</v>
      </c>
      <c r="P71" s="159" t="str">
        <f>IF(E2="No","GPF","NPS")</f>
        <v>GPF</v>
      </c>
      <c r="Q71" s="159" t="s">
        <v>214</v>
      </c>
      <c r="R71" s="159" t="s">
        <v>189</v>
      </c>
      <c r="S71" s="159" t="s">
        <v>188</v>
      </c>
      <c r="T71" s="159" t="s">
        <v>5</v>
      </c>
      <c r="U71" s="159" t="s">
        <v>215</v>
      </c>
      <c r="V71" s="159" t="s">
        <v>152</v>
      </c>
      <c r="W71" s="159" t="s">
        <v>50</v>
      </c>
      <c r="X71" s="159" t="s">
        <v>28</v>
      </c>
      <c r="Y71" s="159" t="s">
        <v>50</v>
      </c>
      <c r="Z71" s="159" t="s">
        <v>31</v>
      </c>
      <c r="AA71" s="177"/>
      <c r="AB71" s="178"/>
    </row>
    <row r="72" spans="1:30" s="12" customFormat="1" ht="18.95" customHeight="1">
      <c r="A72" s="26"/>
      <c r="B72" s="12">
        <v>3</v>
      </c>
      <c r="C72" s="43">
        <v>45717</v>
      </c>
      <c r="D72" s="67">
        <f>AB2</f>
        <v>61500</v>
      </c>
      <c r="E72" s="17">
        <v>0</v>
      </c>
      <c r="F72" s="17">
        <v>0</v>
      </c>
      <c r="G72" s="17">
        <v>0</v>
      </c>
      <c r="H72" s="17">
        <f>ROUND(53%*D72,0)</f>
        <v>32595</v>
      </c>
      <c r="I72" s="50">
        <f>IF($I$2=20%,ROUND(0.18*D72,0),ROUND(0.09*D72,0))</f>
        <v>5535</v>
      </c>
      <c r="J72" s="17">
        <v>0</v>
      </c>
      <c r="K72" s="17">
        <v>0</v>
      </c>
      <c r="L72" s="17">
        <v>0</v>
      </c>
      <c r="M72" s="17">
        <f>$AB$5*38%+$AB$5</f>
        <v>4968</v>
      </c>
      <c r="N72" s="17">
        <v>0</v>
      </c>
      <c r="O72" s="18">
        <f>SUM(D72:N72)</f>
        <v>104598</v>
      </c>
      <c r="P72" s="17">
        <f>IF($E$2="Yes",ROUND((D72+H72)*14/100,0),IF($E$2="No",IF(D74&lt;23101,1450,IF(D74&lt;28501,1625,IF(D74&lt;38501,2100,IF(D74&lt;51501,2850,IF(D74&lt;62001,3575,IF(D74&lt;72001,4200,IF(D74&lt;80001,4800,IF(D74&lt;116001,6150,IF(D74&lt;167001,8900,10500))))))))),0))</f>
        <v>3575</v>
      </c>
      <c r="Q72" s="17">
        <f>IF($E$2="Yes",ROUND((D72+H72)*10/100,0),IF($E$2="No",IF(D74&lt;23101,1450,IF(D74&lt;28501,1625,IF(D74&lt;38501,2100,IF(D74&lt;51501,2850,IF(D74&lt;62001,3575,IF(D74&lt;72001,4200,IF(D74&lt;80001,4800,IF(D74&lt;116001,6150,IF(D74&lt;167001,8900,10500))))))))),0))</f>
        <v>3575</v>
      </c>
      <c r="R72" s="17">
        <v>30</v>
      </c>
      <c r="S72" s="17">
        <v>450</v>
      </c>
      <c r="T72" s="17">
        <v>0</v>
      </c>
      <c r="U72" s="17">
        <v>250</v>
      </c>
      <c r="V72" s="17"/>
      <c r="W72" s="17"/>
      <c r="X72" s="17">
        <v>1000</v>
      </c>
      <c r="Y72" s="68"/>
      <c r="Z72" s="19">
        <f>SUM(Q72:Y72)</f>
        <v>5305</v>
      </c>
      <c r="AA72" s="20">
        <f t="shared" ref="AA72:AA91" si="1">O72-Z72</f>
        <v>99293</v>
      </c>
      <c r="AB72" s="44"/>
      <c r="AC72" s="12" t="s">
        <v>164</v>
      </c>
    </row>
    <row r="73" spans="1:30" s="12" customFormat="1" ht="18.95" customHeight="1">
      <c r="A73" s="26"/>
      <c r="B73" s="12">
        <v>4</v>
      </c>
      <c r="C73" s="43">
        <v>45748</v>
      </c>
      <c r="D73" s="17">
        <f>D72</f>
        <v>61500</v>
      </c>
      <c r="E73" s="17">
        <f>IF(E$72=0,0,ROUND(D73/2,0))</f>
        <v>0</v>
      </c>
      <c r="F73" s="17">
        <f t="shared" ref="F73:G78" si="2">IF(F$72=0,0,F72)</f>
        <v>0</v>
      </c>
      <c r="G73" s="17">
        <f t="shared" si="2"/>
        <v>0</v>
      </c>
      <c r="H73" s="17">
        <f>ROUND(55%*D73,0)</f>
        <v>33825</v>
      </c>
      <c r="I73" s="50">
        <f t="shared" ref="I73:I79" si="3">IF($I$2=20%,ROUND(0.18*D73,0),ROUND(0.09*D73,0))</f>
        <v>5535</v>
      </c>
      <c r="J73" s="17">
        <f t="shared" ref="J73:J83" si="4">IF(J$72=0,0,J72)</f>
        <v>0</v>
      </c>
      <c r="K73" s="17">
        <f t="shared" ref="K73:L83" si="5">IF(K$72=0,0,K72)</f>
        <v>0</v>
      </c>
      <c r="L73" s="17">
        <f t="shared" si="5"/>
        <v>0</v>
      </c>
      <c r="M73" s="17">
        <f>$AB$5*42%+$AB$5</f>
        <v>5112</v>
      </c>
      <c r="N73" s="17">
        <f t="shared" ref="N73:N83" si="6">IF(N$72=0,0,N72)</f>
        <v>0</v>
      </c>
      <c r="O73" s="18">
        <f t="shared" ref="O73:O91" si="7">SUM(D73:N73)</f>
        <v>105972</v>
      </c>
      <c r="P73" s="17">
        <f t="shared" ref="P73:P85" si="8">IF($E$2="Yes",ROUND((D73+H73)*14/100,0),IF($E$2="No",IF(D75&lt;23101,1450,IF(D75&lt;28501,1625,IF(D75&lt;38501,2100,IF(D75&lt;51501,2850,IF(D75&lt;62001,3575,IF(D75&lt;72001,4200,IF(D75&lt;80001,4800,IF(D75&lt;116001,6150,IF(D75&lt;167001,8900,10500))))))))),0))</f>
        <v>3575</v>
      </c>
      <c r="Q73" s="17">
        <f t="shared" ref="Q73:Q85" si="9">IF($E$2="Yes",ROUND((D73+H73)*10/100,0),IF($E$2="No",IF(D75&lt;23101,1450,IF(D75&lt;28501,1625,IF(D75&lt;38501,2100,IF(D75&lt;51501,2850,IF(D75&lt;62001,3575,IF(D75&lt;72001,4200,IF(D75&lt;80001,4800,IF(D75&lt;116001,6150,IF(D75&lt;167001,8900,10500))))))))),0))</f>
        <v>3575</v>
      </c>
      <c r="R73" s="17">
        <f>R72</f>
        <v>30</v>
      </c>
      <c r="S73" s="17">
        <f>S72</f>
        <v>450</v>
      </c>
      <c r="T73" s="17">
        <f>T72</f>
        <v>0</v>
      </c>
      <c r="U73" s="69">
        <f>U72</f>
        <v>250</v>
      </c>
      <c r="V73" s="17">
        <f t="shared" ref="V73:Y83" si="10">V72</f>
        <v>0</v>
      </c>
      <c r="W73" s="17">
        <f t="shared" si="10"/>
        <v>0</v>
      </c>
      <c r="X73" s="17">
        <f>X72</f>
        <v>1000</v>
      </c>
      <c r="Y73" s="17">
        <f t="shared" si="10"/>
        <v>0</v>
      </c>
      <c r="Z73" s="19">
        <f t="shared" ref="Z73:Z91" si="11">SUM(Q73:Y73)</f>
        <v>5305</v>
      </c>
      <c r="AA73" s="20">
        <f t="shared" si="1"/>
        <v>100667</v>
      </c>
      <c r="AB73" s="44"/>
      <c r="AC73" s="12" t="s">
        <v>165</v>
      </c>
    </row>
    <row r="74" spans="1:30" s="12" customFormat="1" ht="18.95" customHeight="1">
      <c r="A74" s="26"/>
      <c r="B74" s="12">
        <v>5</v>
      </c>
      <c r="C74" s="43">
        <v>45778</v>
      </c>
      <c r="D74" s="17">
        <f t="shared" ref="D74:D83" si="12">D73</f>
        <v>61500</v>
      </c>
      <c r="E74" s="17">
        <f t="shared" ref="E74:E83" si="13">IF($E$72=0,0,ROUND(D74/2,0))</f>
        <v>0</v>
      </c>
      <c r="F74" s="17">
        <f t="shared" si="2"/>
        <v>0</v>
      </c>
      <c r="G74" s="17">
        <f t="shared" si="2"/>
        <v>0</v>
      </c>
      <c r="H74" s="17">
        <f t="shared" ref="H74:H78" si="14">ROUND(55%*D74,0)</f>
        <v>33825</v>
      </c>
      <c r="I74" s="50">
        <f t="shared" si="3"/>
        <v>5535</v>
      </c>
      <c r="J74" s="17">
        <f t="shared" si="4"/>
        <v>0</v>
      </c>
      <c r="K74" s="17">
        <f t="shared" ref="K74" si="15">IF(K$72=0,0,K73)</f>
        <v>0</v>
      </c>
      <c r="L74" s="17">
        <f>IF(L$72=0,0,L73)</f>
        <v>0</v>
      </c>
      <c r="M74" s="17">
        <f t="shared" ref="M74:M78" si="16">$AB$5*42%+$AB$5</f>
        <v>5112</v>
      </c>
      <c r="N74" s="17">
        <f t="shared" si="6"/>
        <v>0</v>
      </c>
      <c r="O74" s="18">
        <f t="shared" si="7"/>
        <v>105972</v>
      </c>
      <c r="P74" s="17">
        <f t="shared" si="8"/>
        <v>4200</v>
      </c>
      <c r="Q74" s="17">
        <f t="shared" si="9"/>
        <v>4200</v>
      </c>
      <c r="R74" s="17">
        <f t="shared" ref="R74:R83" si="17">R73</f>
        <v>30</v>
      </c>
      <c r="S74" s="17">
        <f t="shared" ref="S74:S83" si="18">S73</f>
        <v>450</v>
      </c>
      <c r="T74" s="17">
        <f t="shared" ref="T74:U83" si="19">T73</f>
        <v>0</v>
      </c>
      <c r="U74" s="69">
        <f t="shared" si="19"/>
        <v>250</v>
      </c>
      <c r="V74" s="17">
        <f t="shared" si="10"/>
        <v>0</v>
      </c>
      <c r="W74" s="17">
        <f t="shared" si="10"/>
        <v>0</v>
      </c>
      <c r="X74" s="17">
        <f t="shared" si="10"/>
        <v>1000</v>
      </c>
      <c r="Y74" s="17">
        <f t="shared" ref="Y74" si="20">Y73</f>
        <v>0</v>
      </c>
      <c r="Z74" s="19">
        <f t="shared" si="11"/>
        <v>5930</v>
      </c>
      <c r="AA74" s="20">
        <f t="shared" si="1"/>
        <v>100042</v>
      </c>
      <c r="AB74" s="44"/>
      <c r="AC74" s="12" t="s">
        <v>166</v>
      </c>
    </row>
    <row r="75" spans="1:30" s="12" customFormat="1" ht="18.95" customHeight="1">
      <c r="A75" s="26"/>
      <c r="B75" s="12">
        <v>6</v>
      </c>
      <c r="C75" s="43">
        <v>45809</v>
      </c>
      <c r="D75" s="17">
        <f t="shared" si="12"/>
        <v>61500</v>
      </c>
      <c r="E75" s="17">
        <f t="shared" si="13"/>
        <v>0</v>
      </c>
      <c r="F75" s="17">
        <f t="shared" si="2"/>
        <v>0</v>
      </c>
      <c r="G75" s="17">
        <f t="shared" si="2"/>
        <v>0</v>
      </c>
      <c r="H75" s="17">
        <f t="shared" si="14"/>
        <v>33825</v>
      </c>
      <c r="I75" s="50">
        <f t="shared" si="3"/>
        <v>5535</v>
      </c>
      <c r="J75" s="17">
        <f t="shared" si="4"/>
        <v>0</v>
      </c>
      <c r="K75" s="17">
        <f t="shared" si="5"/>
        <v>0</v>
      </c>
      <c r="L75" s="17">
        <f t="shared" si="5"/>
        <v>0</v>
      </c>
      <c r="M75" s="17">
        <f t="shared" si="16"/>
        <v>5112</v>
      </c>
      <c r="N75" s="17">
        <f t="shared" si="6"/>
        <v>0</v>
      </c>
      <c r="O75" s="18">
        <f t="shared" si="7"/>
        <v>105972</v>
      </c>
      <c r="P75" s="17">
        <f t="shared" si="8"/>
        <v>4200</v>
      </c>
      <c r="Q75" s="17">
        <f t="shared" si="9"/>
        <v>4200</v>
      </c>
      <c r="R75" s="17">
        <f t="shared" si="17"/>
        <v>30</v>
      </c>
      <c r="S75" s="17">
        <f t="shared" si="18"/>
        <v>450</v>
      </c>
      <c r="T75" s="17">
        <f t="shared" si="19"/>
        <v>0</v>
      </c>
      <c r="U75" s="69">
        <f t="shared" si="19"/>
        <v>250</v>
      </c>
      <c r="V75" s="17">
        <f t="shared" si="10"/>
        <v>0</v>
      </c>
      <c r="W75" s="17">
        <f t="shared" si="10"/>
        <v>0</v>
      </c>
      <c r="X75" s="17">
        <f t="shared" si="10"/>
        <v>1000</v>
      </c>
      <c r="Y75" s="17">
        <f t="shared" ref="Y75" si="21">Y74</f>
        <v>0</v>
      </c>
      <c r="Z75" s="19">
        <f t="shared" si="11"/>
        <v>5930</v>
      </c>
      <c r="AA75" s="20">
        <f t="shared" si="1"/>
        <v>100042</v>
      </c>
      <c r="AB75" s="44"/>
      <c r="AC75" s="12" t="s">
        <v>167</v>
      </c>
    </row>
    <row r="76" spans="1:30" s="12" customFormat="1" ht="18.95" customHeight="1">
      <c r="A76" s="26"/>
      <c r="B76" s="12">
        <v>7</v>
      </c>
      <c r="C76" s="43">
        <v>45839</v>
      </c>
      <c r="D76" s="17">
        <f>MROUND(ROUND(1.03*D72,0),100)</f>
        <v>63300</v>
      </c>
      <c r="E76" s="17">
        <f t="shared" si="13"/>
        <v>0</v>
      </c>
      <c r="F76" s="17">
        <f>IF(F$72=0,0,F75)</f>
        <v>0</v>
      </c>
      <c r="G76" s="17">
        <f>IF(G$72=0,0,G75)</f>
        <v>0</v>
      </c>
      <c r="H76" s="17">
        <f t="shared" si="14"/>
        <v>34815</v>
      </c>
      <c r="I76" s="50">
        <f t="shared" si="3"/>
        <v>5697</v>
      </c>
      <c r="J76" s="17">
        <f>IF(J$72=0,0,J75)</f>
        <v>0</v>
      </c>
      <c r="K76" s="17">
        <f t="shared" ref="K76" si="22">IF(K$72=0,0,K75)</f>
        <v>0</v>
      </c>
      <c r="L76" s="17">
        <f>IF(L$72=0,0,L75)</f>
        <v>0</v>
      </c>
      <c r="M76" s="17">
        <f t="shared" si="16"/>
        <v>5112</v>
      </c>
      <c r="N76" s="17">
        <f>IF(N$72=0,0,N75)</f>
        <v>0</v>
      </c>
      <c r="O76" s="18">
        <f t="shared" si="7"/>
        <v>108924</v>
      </c>
      <c r="P76" s="17">
        <f t="shared" si="8"/>
        <v>4200</v>
      </c>
      <c r="Q76" s="17">
        <f t="shared" si="9"/>
        <v>4200</v>
      </c>
      <c r="R76" s="17">
        <f>R75</f>
        <v>30</v>
      </c>
      <c r="S76" s="17">
        <f>S75</f>
        <v>450</v>
      </c>
      <c r="T76" s="17">
        <f>T75</f>
        <v>0</v>
      </c>
      <c r="U76" s="69">
        <f t="shared" ref="U76:U83" si="23">U75</f>
        <v>250</v>
      </c>
      <c r="V76" s="17">
        <f>V75</f>
        <v>0</v>
      </c>
      <c r="W76" s="17">
        <f>W75</f>
        <v>0</v>
      </c>
      <c r="X76" s="17">
        <f t="shared" ref="X76:Y83" si="24">X75</f>
        <v>1000</v>
      </c>
      <c r="Y76" s="17">
        <f t="shared" si="24"/>
        <v>0</v>
      </c>
      <c r="Z76" s="19">
        <f t="shared" si="11"/>
        <v>5930</v>
      </c>
      <c r="AA76" s="20">
        <f t="shared" si="1"/>
        <v>102994</v>
      </c>
      <c r="AB76" s="44"/>
      <c r="AC76" s="12" t="s">
        <v>168</v>
      </c>
    </row>
    <row r="77" spans="1:30" s="12" customFormat="1" ht="18.95" customHeight="1">
      <c r="A77" s="26"/>
      <c r="B77" s="12">
        <v>8</v>
      </c>
      <c r="C77" s="43">
        <v>45870</v>
      </c>
      <c r="D77" s="17">
        <f t="shared" si="12"/>
        <v>63300</v>
      </c>
      <c r="E77" s="17">
        <f t="shared" si="13"/>
        <v>0</v>
      </c>
      <c r="F77" s="17">
        <f t="shared" si="2"/>
        <v>0</v>
      </c>
      <c r="G77" s="17">
        <f t="shared" si="2"/>
        <v>0</v>
      </c>
      <c r="H77" s="17">
        <f t="shared" si="14"/>
        <v>34815</v>
      </c>
      <c r="I77" s="50">
        <f t="shared" si="3"/>
        <v>5697</v>
      </c>
      <c r="J77" s="17">
        <f t="shared" si="4"/>
        <v>0</v>
      </c>
      <c r="K77" s="17">
        <f t="shared" si="5"/>
        <v>0</v>
      </c>
      <c r="L77" s="17">
        <f t="shared" si="5"/>
        <v>0</v>
      </c>
      <c r="M77" s="17">
        <f t="shared" si="16"/>
        <v>5112</v>
      </c>
      <c r="N77" s="17">
        <f t="shared" si="6"/>
        <v>0</v>
      </c>
      <c r="O77" s="18">
        <f t="shared" si="7"/>
        <v>108924</v>
      </c>
      <c r="P77" s="17">
        <f t="shared" si="8"/>
        <v>4200</v>
      </c>
      <c r="Q77" s="17">
        <f t="shared" si="9"/>
        <v>4200</v>
      </c>
      <c r="R77" s="17">
        <f t="shared" si="17"/>
        <v>30</v>
      </c>
      <c r="S77" s="17">
        <f t="shared" si="18"/>
        <v>450</v>
      </c>
      <c r="T77" s="17">
        <f t="shared" si="19"/>
        <v>0</v>
      </c>
      <c r="U77" s="69">
        <f t="shared" si="23"/>
        <v>250</v>
      </c>
      <c r="V77" s="17">
        <f t="shared" si="10"/>
        <v>0</v>
      </c>
      <c r="W77" s="17">
        <f t="shared" si="10"/>
        <v>0</v>
      </c>
      <c r="X77" s="17">
        <f t="shared" si="24"/>
        <v>1000</v>
      </c>
      <c r="Y77" s="17">
        <f t="shared" si="24"/>
        <v>0</v>
      </c>
      <c r="Z77" s="19">
        <f t="shared" si="11"/>
        <v>5930</v>
      </c>
      <c r="AA77" s="20">
        <f t="shared" si="1"/>
        <v>102994</v>
      </c>
      <c r="AB77" s="44"/>
      <c r="AC77" s="12" t="s">
        <v>169</v>
      </c>
    </row>
    <row r="78" spans="1:30" s="12" customFormat="1" ht="18.95" customHeight="1">
      <c r="A78" s="26"/>
      <c r="B78" s="12">
        <v>9</v>
      </c>
      <c r="C78" s="43">
        <v>45901</v>
      </c>
      <c r="D78" s="17">
        <f t="shared" si="12"/>
        <v>63300</v>
      </c>
      <c r="E78" s="17">
        <f t="shared" si="13"/>
        <v>0</v>
      </c>
      <c r="F78" s="17">
        <f t="shared" si="2"/>
        <v>0</v>
      </c>
      <c r="G78" s="17">
        <f t="shared" si="2"/>
        <v>0</v>
      </c>
      <c r="H78" s="17">
        <f t="shared" si="14"/>
        <v>34815</v>
      </c>
      <c r="I78" s="50">
        <f t="shared" si="3"/>
        <v>5697</v>
      </c>
      <c r="J78" s="17">
        <f t="shared" si="4"/>
        <v>0</v>
      </c>
      <c r="K78" s="17">
        <f t="shared" si="5"/>
        <v>0</v>
      </c>
      <c r="L78" s="17">
        <f t="shared" si="5"/>
        <v>0</v>
      </c>
      <c r="M78" s="17">
        <f t="shared" si="16"/>
        <v>5112</v>
      </c>
      <c r="N78" s="17">
        <f t="shared" si="6"/>
        <v>0</v>
      </c>
      <c r="O78" s="18">
        <f t="shared" si="7"/>
        <v>108924</v>
      </c>
      <c r="P78" s="17">
        <f t="shared" si="8"/>
        <v>4200</v>
      </c>
      <c r="Q78" s="17">
        <f t="shared" si="9"/>
        <v>4200</v>
      </c>
      <c r="R78" s="17">
        <f t="shared" si="17"/>
        <v>30</v>
      </c>
      <c r="S78" s="17">
        <f t="shared" si="18"/>
        <v>450</v>
      </c>
      <c r="T78" s="17">
        <f t="shared" si="19"/>
        <v>0</v>
      </c>
      <c r="U78" s="69">
        <f t="shared" si="23"/>
        <v>250</v>
      </c>
      <c r="V78" s="17">
        <f t="shared" si="10"/>
        <v>0</v>
      </c>
      <c r="W78" s="17">
        <f t="shared" si="10"/>
        <v>0</v>
      </c>
      <c r="X78" s="17">
        <f t="shared" si="24"/>
        <v>1000</v>
      </c>
      <c r="Y78" s="17">
        <f t="shared" si="24"/>
        <v>0</v>
      </c>
      <c r="Z78" s="19">
        <f t="shared" si="11"/>
        <v>5930</v>
      </c>
      <c r="AA78" s="20">
        <f t="shared" si="1"/>
        <v>102994</v>
      </c>
      <c r="AB78" s="44"/>
      <c r="AC78" s="12" t="s">
        <v>170</v>
      </c>
    </row>
    <row r="79" spans="1:30" s="12" customFormat="1" ht="18.95" customHeight="1">
      <c r="A79" s="26"/>
      <c r="B79" s="12">
        <v>10</v>
      </c>
      <c r="C79" s="43">
        <v>45931</v>
      </c>
      <c r="D79" s="17">
        <f t="shared" si="12"/>
        <v>63300</v>
      </c>
      <c r="E79" s="17">
        <f t="shared" si="13"/>
        <v>0</v>
      </c>
      <c r="F79" s="17">
        <f>IF(F$72=0,0,F78)</f>
        <v>0</v>
      </c>
      <c r="G79" s="17">
        <f t="shared" ref="G79:G83" si="25">IF(G$72=0,0,G78)</f>
        <v>0</v>
      </c>
      <c r="H79" s="17">
        <f>ROUND(58%*D79,0)</f>
        <v>36714</v>
      </c>
      <c r="I79" s="50">
        <f t="shared" si="3"/>
        <v>5697</v>
      </c>
      <c r="J79" s="17">
        <f t="shared" si="4"/>
        <v>0</v>
      </c>
      <c r="K79" s="17">
        <f t="shared" si="5"/>
        <v>0</v>
      </c>
      <c r="L79" s="17">
        <f t="shared" si="5"/>
        <v>0</v>
      </c>
      <c r="M79" s="17">
        <f>$AB$5*46%+$AB$5</f>
        <v>5256</v>
      </c>
      <c r="N79" s="17">
        <f t="shared" si="6"/>
        <v>0</v>
      </c>
      <c r="O79" s="18">
        <f t="shared" si="7"/>
        <v>110967</v>
      </c>
      <c r="P79" s="17">
        <f t="shared" si="8"/>
        <v>4200</v>
      </c>
      <c r="Q79" s="17">
        <f t="shared" si="9"/>
        <v>4200</v>
      </c>
      <c r="R79" s="17">
        <f t="shared" si="17"/>
        <v>30</v>
      </c>
      <c r="S79" s="17">
        <f t="shared" si="18"/>
        <v>450</v>
      </c>
      <c r="T79" s="17">
        <f t="shared" si="19"/>
        <v>0</v>
      </c>
      <c r="U79" s="69">
        <f t="shared" si="23"/>
        <v>250</v>
      </c>
      <c r="V79" s="17">
        <f t="shared" si="10"/>
        <v>0</v>
      </c>
      <c r="W79" s="17">
        <f t="shared" si="10"/>
        <v>0</v>
      </c>
      <c r="X79" s="17">
        <f t="shared" si="24"/>
        <v>1000</v>
      </c>
      <c r="Y79" s="17">
        <f t="shared" si="24"/>
        <v>0</v>
      </c>
      <c r="Z79" s="19">
        <f t="shared" si="11"/>
        <v>5930</v>
      </c>
      <c r="AA79" s="20">
        <f t="shared" si="1"/>
        <v>105037</v>
      </c>
      <c r="AB79" s="44"/>
      <c r="AC79" s="12" t="s">
        <v>171</v>
      </c>
    </row>
    <row r="80" spans="1:30" s="12" customFormat="1" ht="18.95" customHeight="1">
      <c r="A80" s="26"/>
      <c r="B80" s="12">
        <v>11</v>
      </c>
      <c r="C80" s="43">
        <v>45962</v>
      </c>
      <c r="D80" s="17">
        <f t="shared" si="12"/>
        <v>63300</v>
      </c>
      <c r="E80" s="17">
        <f t="shared" si="13"/>
        <v>0</v>
      </c>
      <c r="F80" s="17">
        <f>IF(F$72=0,0,F79)</f>
        <v>0</v>
      </c>
      <c r="G80" s="17">
        <f t="shared" si="25"/>
        <v>0</v>
      </c>
      <c r="H80" s="17">
        <f t="shared" ref="H80:H83" si="26">ROUND(58%*D80,0)</f>
        <v>36714</v>
      </c>
      <c r="I80" s="50">
        <f>IF($I$2=20%,ROUND(0.2*D80,0),ROUND(0.1*D80,0))</f>
        <v>6330</v>
      </c>
      <c r="J80" s="17">
        <f t="shared" si="4"/>
        <v>0</v>
      </c>
      <c r="K80" s="17">
        <f t="shared" si="5"/>
        <v>0</v>
      </c>
      <c r="L80" s="17">
        <f t="shared" si="5"/>
        <v>0</v>
      </c>
      <c r="M80" s="17">
        <f>$AB$5*46%+$AB$5</f>
        <v>5256</v>
      </c>
      <c r="N80" s="17">
        <f t="shared" si="6"/>
        <v>0</v>
      </c>
      <c r="O80" s="18">
        <f t="shared" si="7"/>
        <v>111600</v>
      </c>
      <c r="P80" s="17">
        <f t="shared" si="8"/>
        <v>4200</v>
      </c>
      <c r="Q80" s="17">
        <f t="shared" si="9"/>
        <v>4200</v>
      </c>
      <c r="R80" s="17">
        <f t="shared" si="17"/>
        <v>30</v>
      </c>
      <c r="S80" s="17">
        <f t="shared" si="18"/>
        <v>450</v>
      </c>
      <c r="T80" s="17">
        <f t="shared" si="19"/>
        <v>0</v>
      </c>
      <c r="U80" s="69">
        <f t="shared" si="23"/>
        <v>250</v>
      </c>
      <c r="V80" s="17">
        <f t="shared" si="10"/>
        <v>0</v>
      </c>
      <c r="W80" s="17">
        <f t="shared" si="10"/>
        <v>0</v>
      </c>
      <c r="X80" s="17">
        <f t="shared" si="24"/>
        <v>1000</v>
      </c>
      <c r="Y80" s="17">
        <f t="shared" si="24"/>
        <v>0</v>
      </c>
      <c r="Z80" s="19">
        <f t="shared" si="11"/>
        <v>5930</v>
      </c>
      <c r="AA80" s="20">
        <f t="shared" si="1"/>
        <v>105670</v>
      </c>
      <c r="AB80" s="44"/>
      <c r="AC80" s="12" t="s">
        <v>172</v>
      </c>
    </row>
    <row r="81" spans="1:29" s="12" customFormat="1" ht="18.95" customHeight="1">
      <c r="A81" s="26"/>
      <c r="B81" s="12">
        <v>12</v>
      </c>
      <c r="C81" s="43">
        <v>45992</v>
      </c>
      <c r="D81" s="17">
        <f t="shared" si="12"/>
        <v>63300</v>
      </c>
      <c r="E81" s="17">
        <f t="shared" si="13"/>
        <v>0</v>
      </c>
      <c r="F81" s="17">
        <f>IF(F$72=0,0,F80)</f>
        <v>0</v>
      </c>
      <c r="G81" s="17">
        <f t="shared" si="25"/>
        <v>0</v>
      </c>
      <c r="H81" s="17">
        <f t="shared" si="26"/>
        <v>36714</v>
      </c>
      <c r="I81" s="50">
        <f t="shared" ref="I81:I83" si="27">IF($I$2=20%,ROUND(0.2*D81,0),ROUND(0.1*D81,0))</f>
        <v>6330</v>
      </c>
      <c r="J81" s="17">
        <f t="shared" si="4"/>
        <v>0</v>
      </c>
      <c r="K81" s="17">
        <f t="shared" si="5"/>
        <v>0</v>
      </c>
      <c r="L81" s="17">
        <f t="shared" si="5"/>
        <v>0</v>
      </c>
      <c r="M81" s="17">
        <f t="shared" ref="M81:M83" si="28">$AB$5*46%+$AB$5</f>
        <v>5256</v>
      </c>
      <c r="N81" s="17">
        <f t="shared" si="6"/>
        <v>0</v>
      </c>
      <c r="O81" s="18">
        <f t="shared" si="7"/>
        <v>111600</v>
      </c>
      <c r="P81" s="17">
        <f t="shared" si="8"/>
        <v>4200</v>
      </c>
      <c r="Q81" s="17">
        <f t="shared" si="9"/>
        <v>4200</v>
      </c>
      <c r="R81" s="17">
        <f t="shared" si="17"/>
        <v>30</v>
      </c>
      <c r="S81" s="17">
        <f t="shared" si="18"/>
        <v>450</v>
      </c>
      <c r="T81" s="17">
        <f t="shared" si="19"/>
        <v>0</v>
      </c>
      <c r="U81" s="69">
        <f t="shared" si="23"/>
        <v>250</v>
      </c>
      <c r="V81" s="17">
        <f t="shared" si="10"/>
        <v>0</v>
      </c>
      <c r="W81" s="17">
        <f t="shared" si="10"/>
        <v>0</v>
      </c>
      <c r="X81" s="17">
        <f t="shared" si="24"/>
        <v>1000</v>
      </c>
      <c r="Y81" s="17"/>
      <c r="Z81" s="19">
        <f t="shared" si="11"/>
        <v>5930</v>
      </c>
      <c r="AA81" s="20">
        <f t="shared" si="1"/>
        <v>105670</v>
      </c>
      <c r="AB81" s="44"/>
      <c r="AC81" s="12" t="s">
        <v>173</v>
      </c>
    </row>
    <row r="82" spans="1:29" s="12" customFormat="1" ht="18.95" customHeight="1">
      <c r="A82" s="26"/>
      <c r="B82" s="12">
        <v>1</v>
      </c>
      <c r="C82" s="43">
        <v>46023</v>
      </c>
      <c r="D82" s="17">
        <f t="shared" si="12"/>
        <v>63300</v>
      </c>
      <c r="E82" s="17">
        <f t="shared" si="13"/>
        <v>0</v>
      </c>
      <c r="F82" s="17">
        <f>IF(F$72=0,0,F81)</f>
        <v>0</v>
      </c>
      <c r="G82" s="17">
        <f t="shared" si="25"/>
        <v>0</v>
      </c>
      <c r="H82" s="17">
        <f t="shared" si="26"/>
        <v>36714</v>
      </c>
      <c r="I82" s="50">
        <f t="shared" si="27"/>
        <v>6330</v>
      </c>
      <c r="J82" s="17">
        <f t="shared" si="4"/>
        <v>0</v>
      </c>
      <c r="K82" s="17">
        <f t="shared" si="5"/>
        <v>0</v>
      </c>
      <c r="L82" s="17">
        <f t="shared" si="5"/>
        <v>0</v>
      </c>
      <c r="M82" s="17">
        <f t="shared" si="28"/>
        <v>5256</v>
      </c>
      <c r="N82" s="17">
        <f t="shared" si="6"/>
        <v>0</v>
      </c>
      <c r="O82" s="18">
        <f t="shared" si="7"/>
        <v>111600</v>
      </c>
      <c r="P82" s="17">
        <f t="shared" si="8"/>
        <v>1450</v>
      </c>
      <c r="Q82" s="17">
        <f t="shared" si="9"/>
        <v>1450</v>
      </c>
      <c r="R82" s="17">
        <f t="shared" si="17"/>
        <v>30</v>
      </c>
      <c r="S82" s="17">
        <f t="shared" si="18"/>
        <v>450</v>
      </c>
      <c r="T82" s="17">
        <f t="shared" si="19"/>
        <v>0</v>
      </c>
      <c r="U82" s="69">
        <f t="shared" si="23"/>
        <v>250</v>
      </c>
      <c r="V82" s="17">
        <f t="shared" si="10"/>
        <v>0</v>
      </c>
      <c r="W82" s="17">
        <f t="shared" si="10"/>
        <v>0</v>
      </c>
      <c r="X82" s="17">
        <f t="shared" si="24"/>
        <v>1000</v>
      </c>
      <c r="Y82" s="17"/>
      <c r="Z82" s="19">
        <f t="shared" si="11"/>
        <v>3180</v>
      </c>
      <c r="AA82" s="20">
        <f t="shared" si="1"/>
        <v>108420</v>
      </c>
      <c r="AB82" s="44"/>
      <c r="AC82" s="12" t="s">
        <v>174</v>
      </c>
    </row>
    <row r="83" spans="1:29" s="12" customFormat="1" ht="18.95" customHeight="1">
      <c r="A83" s="26"/>
      <c r="B83" s="12">
        <v>2</v>
      </c>
      <c r="C83" s="43">
        <v>46054</v>
      </c>
      <c r="D83" s="17">
        <f t="shared" si="12"/>
        <v>63300</v>
      </c>
      <c r="E83" s="17">
        <f t="shared" si="13"/>
        <v>0</v>
      </c>
      <c r="F83" s="17">
        <f>IF(F$72=0,0,F82)</f>
        <v>0</v>
      </c>
      <c r="G83" s="17">
        <f t="shared" si="25"/>
        <v>0</v>
      </c>
      <c r="H83" s="17">
        <f t="shared" si="26"/>
        <v>36714</v>
      </c>
      <c r="I83" s="50">
        <f t="shared" si="27"/>
        <v>6330</v>
      </c>
      <c r="J83" s="17">
        <f t="shared" si="4"/>
        <v>0</v>
      </c>
      <c r="K83" s="17">
        <f t="shared" si="5"/>
        <v>0</v>
      </c>
      <c r="L83" s="17">
        <f t="shared" si="5"/>
        <v>0</v>
      </c>
      <c r="M83" s="17">
        <f t="shared" si="28"/>
        <v>5256</v>
      </c>
      <c r="N83" s="17">
        <f t="shared" si="6"/>
        <v>0</v>
      </c>
      <c r="O83" s="18">
        <f t="shared" si="7"/>
        <v>111600</v>
      </c>
      <c r="P83" s="17">
        <f t="shared" si="8"/>
        <v>1450</v>
      </c>
      <c r="Q83" s="17">
        <f t="shared" si="9"/>
        <v>1450</v>
      </c>
      <c r="R83" s="17">
        <f t="shared" si="17"/>
        <v>30</v>
      </c>
      <c r="S83" s="17">
        <f t="shared" si="18"/>
        <v>450</v>
      </c>
      <c r="T83" s="17">
        <f t="shared" si="19"/>
        <v>0</v>
      </c>
      <c r="U83" s="69">
        <f t="shared" si="23"/>
        <v>250</v>
      </c>
      <c r="V83" s="17">
        <f t="shared" si="10"/>
        <v>0</v>
      </c>
      <c r="W83" s="17">
        <f t="shared" si="10"/>
        <v>0</v>
      </c>
      <c r="X83" s="17">
        <f t="shared" si="24"/>
        <v>1000</v>
      </c>
      <c r="Y83" s="17"/>
      <c r="Z83" s="19">
        <f t="shared" si="11"/>
        <v>3180</v>
      </c>
      <c r="AA83" s="20">
        <f t="shared" si="1"/>
        <v>108420</v>
      </c>
      <c r="AB83" s="44"/>
      <c r="AC83" s="12" t="s">
        <v>175</v>
      </c>
    </row>
    <row r="84" spans="1:29" s="12" customFormat="1" ht="18.95" customHeight="1">
      <c r="A84" s="26"/>
      <c r="C84" s="45" t="s">
        <v>223</v>
      </c>
      <c r="D84" s="17"/>
      <c r="E84" s="17"/>
      <c r="F84" s="17"/>
      <c r="G84" s="17"/>
      <c r="H84" s="17">
        <f>(ROUND(55%*D72,0)-ROUND(53%*D72,0))*3</f>
        <v>3690</v>
      </c>
      <c r="I84" s="17"/>
      <c r="J84" s="17"/>
      <c r="K84" s="17"/>
      <c r="L84" s="17"/>
      <c r="M84" s="17">
        <f>($AB$5*4%)*3</f>
        <v>432</v>
      </c>
      <c r="N84" s="17"/>
      <c r="O84" s="18">
        <f t="shared" si="7"/>
        <v>4122</v>
      </c>
      <c r="P84" s="17">
        <f t="shared" si="8"/>
        <v>1450</v>
      </c>
      <c r="Q84" s="17">
        <f t="shared" si="9"/>
        <v>1450</v>
      </c>
      <c r="R84" s="17"/>
      <c r="S84" s="17"/>
      <c r="T84" s="17">
        <v>0</v>
      </c>
      <c r="U84" s="17"/>
      <c r="V84" s="17"/>
      <c r="W84" s="17"/>
      <c r="X84" s="17"/>
      <c r="Y84" s="17"/>
      <c r="Z84" s="19">
        <f t="shared" si="11"/>
        <v>1450</v>
      </c>
      <c r="AA84" s="20">
        <f t="shared" si="1"/>
        <v>2672</v>
      </c>
      <c r="AB84" s="44"/>
      <c r="AC84" s="12" t="s">
        <v>176</v>
      </c>
    </row>
    <row r="85" spans="1:29" s="12" customFormat="1" ht="18.95" customHeight="1">
      <c r="A85" s="26"/>
      <c r="C85" s="45" t="s">
        <v>224</v>
      </c>
      <c r="D85" s="17"/>
      <c r="E85" s="17"/>
      <c r="F85" s="17"/>
      <c r="G85" s="17"/>
      <c r="H85" s="17">
        <f>(ROUND(58%*D76,0)-ROUND(55%*D76,0))*3</f>
        <v>5697</v>
      </c>
      <c r="I85" s="17"/>
      <c r="J85" s="17"/>
      <c r="K85" s="17"/>
      <c r="L85" s="17"/>
      <c r="M85" s="17">
        <f>($AB$5*4%)*3</f>
        <v>432</v>
      </c>
      <c r="N85" s="17"/>
      <c r="O85" s="18">
        <f t="shared" si="7"/>
        <v>6129</v>
      </c>
      <c r="P85" s="17">
        <f t="shared" si="8"/>
        <v>1450</v>
      </c>
      <c r="Q85" s="17">
        <f t="shared" si="9"/>
        <v>1450</v>
      </c>
      <c r="R85" s="17"/>
      <c r="S85" s="17"/>
      <c r="T85" s="17">
        <v>0</v>
      </c>
      <c r="U85" s="17"/>
      <c r="V85" s="17"/>
      <c r="W85" s="17"/>
      <c r="X85" s="17"/>
      <c r="Y85" s="17"/>
      <c r="Z85" s="19">
        <f t="shared" si="11"/>
        <v>1450</v>
      </c>
      <c r="AA85" s="20">
        <f t="shared" ref="AA85" si="29">O85-Z85</f>
        <v>4679</v>
      </c>
      <c r="AB85" s="44"/>
      <c r="AC85" s="12" t="s">
        <v>177</v>
      </c>
    </row>
    <row r="86" spans="1:29" s="12" customFormat="1" ht="18.95" customHeight="1">
      <c r="A86" s="26"/>
      <c r="C86" s="46" t="s">
        <v>26</v>
      </c>
      <c r="D86" s="17">
        <f>IF(X2="Yes",6908,0)</f>
        <v>6908</v>
      </c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8">
        <f t="shared" si="7"/>
        <v>6908</v>
      </c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9">
        <f t="shared" si="11"/>
        <v>0</v>
      </c>
      <c r="AA86" s="20">
        <f t="shared" si="1"/>
        <v>6908</v>
      </c>
      <c r="AB86" s="44"/>
      <c r="AC86" s="12" t="s">
        <v>178</v>
      </c>
    </row>
    <row r="87" spans="1:29" s="12" customFormat="1" ht="18.95" customHeight="1">
      <c r="A87" s="26"/>
      <c r="C87" s="45" t="s">
        <v>27</v>
      </c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8">
        <f t="shared" si="7"/>
        <v>0</v>
      </c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9">
        <f t="shared" si="11"/>
        <v>0</v>
      </c>
      <c r="AA87" s="20">
        <f t="shared" si="1"/>
        <v>0</v>
      </c>
      <c r="AB87" s="44"/>
      <c r="AC87" s="12" t="s">
        <v>179</v>
      </c>
    </row>
    <row r="88" spans="1:29" s="12" customFormat="1" ht="18.95" customHeight="1">
      <c r="A88" s="26"/>
      <c r="C88" s="45" t="s">
        <v>38</v>
      </c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8">
        <f t="shared" si="7"/>
        <v>0</v>
      </c>
      <c r="P88" s="17">
        <f>IF($E$2="Yes",ROUND((D88+H88)*10/100,0),IF($E$2="No",IF(D90&lt;23101,1450,IF(D90&lt;28501,1625,IF(D90&lt;38501,2100,IF(D90&lt;51501,2850,IF(D90&lt;62001,3575,IF(D90&lt;72001,4200,IF(D90&lt;80001,4800,IF(D90&lt;116001,6150,IF(D90&lt;167001,8900,10500))))))))),0))</f>
        <v>1450</v>
      </c>
      <c r="Q88" s="17"/>
      <c r="R88" s="17"/>
      <c r="S88" s="17"/>
      <c r="T88" s="17"/>
      <c r="U88" s="17"/>
      <c r="V88" s="17"/>
      <c r="W88" s="17"/>
      <c r="X88" s="17"/>
      <c r="Y88" s="17"/>
      <c r="Z88" s="19">
        <f t="shared" si="11"/>
        <v>0</v>
      </c>
      <c r="AA88" s="20">
        <f t="shared" si="1"/>
        <v>0</v>
      </c>
      <c r="AB88" s="44"/>
      <c r="AC88" s="12" t="s">
        <v>180</v>
      </c>
    </row>
    <row r="89" spans="1:29" s="12" customFormat="1" ht="18.95" customHeight="1">
      <c r="A89" s="26"/>
      <c r="C89" s="45" t="s">
        <v>39</v>
      </c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8">
        <f t="shared" si="7"/>
        <v>0</v>
      </c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9">
        <f t="shared" si="11"/>
        <v>0</v>
      </c>
      <c r="AA89" s="20">
        <f t="shared" si="1"/>
        <v>0</v>
      </c>
      <c r="AB89" s="44"/>
      <c r="AC89" s="12" t="s">
        <v>181</v>
      </c>
    </row>
    <row r="90" spans="1:29" s="12" customFormat="1" ht="18.95" customHeight="1">
      <c r="A90" s="26"/>
      <c r="C90" s="45" t="s">
        <v>40</v>
      </c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8">
        <f t="shared" si="7"/>
        <v>0</v>
      </c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9">
        <f t="shared" si="11"/>
        <v>0</v>
      </c>
      <c r="AA90" s="20">
        <f t="shared" si="1"/>
        <v>0</v>
      </c>
      <c r="AB90" s="44"/>
      <c r="AC90" s="12" t="s">
        <v>182</v>
      </c>
    </row>
    <row r="91" spans="1:29" s="12" customFormat="1" ht="18.95" customHeight="1">
      <c r="A91" s="26"/>
      <c r="C91" s="45" t="s">
        <v>30</v>
      </c>
      <c r="D91" s="17"/>
      <c r="E91" s="17">
        <v>0</v>
      </c>
      <c r="F91" s="17">
        <v>0</v>
      </c>
      <c r="G91" s="17"/>
      <c r="H91" s="17"/>
      <c r="I91" s="17"/>
      <c r="J91" s="17"/>
      <c r="K91" s="17"/>
      <c r="L91" s="17"/>
      <c r="M91" s="17"/>
      <c r="N91" s="17"/>
      <c r="O91" s="18">
        <f t="shared" si="7"/>
        <v>0</v>
      </c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9">
        <f t="shared" si="11"/>
        <v>0</v>
      </c>
      <c r="AA91" s="20">
        <f t="shared" si="1"/>
        <v>0</v>
      </c>
      <c r="AB91" s="44"/>
      <c r="AC91" s="12" t="s">
        <v>183</v>
      </c>
    </row>
    <row r="92" spans="1:29" s="13" customFormat="1" ht="70.5" customHeight="1" thickBot="1">
      <c r="A92" s="27"/>
      <c r="C92" s="47" t="s">
        <v>22</v>
      </c>
      <c r="D92" s="48">
        <f t="shared" ref="D92:AA92" si="30">SUM(D72:D91)</f>
        <v>759308</v>
      </c>
      <c r="E92" s="48">
        <f t="shared" si="30"/>
        <v>0</v>
      </c>
      <c r="F92" s="48">
        <f t="shared" si="30"/>
        <v>0</v>
      </c>
      <c r="G92" s="48">
        <f t="shared" si="30"/>
        <v>0</v>
      </c>
      <c r="H92" s="48">
        <f t="shared" si="30"/>
        <v>431472</v>
      </c>
      <c r="I92" s="48">
        <f t="shared" si="30"/>
        <v>70248</v>
      </c>
      <c r="J92" s="48">
        <f t="shared" si="30"/>
        <v>0</v>
      </c>
      <c r="K92" s="48">
        <f t="shared" si="30"/>
        <v>0</v>
      </c>
      <c r="L92" s="48">
        <f t="shared" si="30"/>
        <v>0</v>
      </c>
      <c r="M92" s="48">
        <f t="shared" si="30"/>
        <v>62784</v>
      </c>
      <c r="N92" s="48">
        <f t="shared" si="30"/>
        <v>0</v>
      </c>
      <c r="O92" s="48">
        <f t="shared" si="30"/>
        <v>1323812</v>
      </c>
      <c r="P92" s="48">
        <f t="shared" si="30"/>
        <v>48000</v>
      </c>
      <c r="Q92" s="48">
        <f t="shared" si="30"/>
        <v>46550</v>
      </c>
      <c r="R92" s="48">
        <f t="shared" si="30"/>
        <v>360</v>
      </c>
      <c r="S92" s="48">
        <f t="shared" si="30"/>
        <v>5400</v>
      </c>
      <c r="T92" s="48">
        <f t="shared" si="30"/>
        <v>0</v>
      </c>
      <c r="U92" s="158">
        <f t="shared" si="30"/>
        <v>3000</v>
      </c>
      <c r="V92" s="48">
        <f t="shared" si="30"/>
        <v>0</v>
      </c>
      <c r="W92" s="48">
        <f t="shared" si="30"/>
        <v>0</v>
      </c>
      <c r="X92" s="48">
        <f t="shared" si="30"/>
        <v>12000</v>
      </c>
      <c r="Y92" s="48">
        <f t="shared" si="30"/>
        <v>0</v>
      </c>
      <c r="Z92" s="158">
        <f t="shared" si="30"/>
        <v>67310</v>
      </c>
      <c r="AA92" s="158">
        <f t="shared" si="30"/>
        <v>1256502</v>
      </c>
      <c r="AB92" s="49"/>
    </row>
    <row r="93" spans="1:29" s="4" customFormat="1">
      <c r="A93" s="28"/>
      <c r="C93" s="70"/>
      <c r="AB93" s="71"/>
    </row>
    <row r="94" spans="1:29" s="4" customFormat="1">
      <c r="A94" s="28"/>
      <c r="C94" s="70"/>
      <c r="AB94" s="71"/>
    </row>
    <row r="95" spans="1:29" s="4" customFormat="1">
      <c r="A95" s="28"/>
      <c r="C95" s="70"/>
      <c r="AB95" s="71"/>
    </row>
    <row r="96" spans="1:29">
      <c r="C96" s="72"/>
      <c r="AB96" s="73"/>
    </row>
    <row r="97" spans="3:28">
      <c r="C97" s="72"/>
      <c r="E97" s="15" t="s">
        <v>23</v>
      </c>
      <c r="AA97" s="15" t="s">
        <v>24</v>
      </c>
      <c r="AB97" s="73"/>
    </row>
    <row r="98" spans="3:28">
      <c r="C98" s="72"/>
      <c r="AB98" s="73"/>
    </row>
    <row r="99" spans="3:28" ht="13.5" thickBot="1">
      <c r="C99" s="171"/>
      <c r="D99" s="172"/>
      <c r="E99" s="172"/>
      <c r="F99" s="172"/>
      <c r="G99" s="172"/>
      <c r="H99" s="172"/>
      <c r="I99" s="172"/>
      <c r="J99" s="172"/>
      <c r="K99" s="172"/>
      <c r="L99" s="172"/>
      <c r="M99" s="172"/>
      <c r="N99" s="172"/>
      <c r="O99" s="172"/>
      <c r="P99" s="172"/>
      <c r="Q99" s="172"/>
      <c r="R99" s="172"/>
      <c r="S99" s="172"/>
      <c r="T99" s="172"/>
      <c r="U99" s="172"/>
      <c r="V99" s="172"/>
      <c r="W99" s="172"/>
      <c r="X99" s="172"/>
      <c r="Y99" s="172"/>
      <c r="Z99" s="172"/>
      <c r="AA99" s="172"/>
      <c r="AB99" s="173"/>
    </row>
  </sheetData>
  <sheetProtection password="9090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99:AB99"/>
    <mergeCell ref="C66:AB66"/>
    <mergeCell ref="C68:D68"/>
    <mergeCell ref="C70:O70"/>
    <mergeCell ref="P70:Z70"/>
    <mergeCell ref="AA70:AA71"/>
    <mergeCell ref="AB70:AB71"/>
    <mergeCell ref="C69:D69"/>
    <mergeCell ref="K68:N68"/>
    <mergeCell ref="K69:N69"/>
    <mergeCell ref="Y68:Z68"/>
    <mergeCell ref="Y69:Z69"/>
    <mergeCell ref="V68:X68"/>
    <mergeCell ref="V69:X69"/>
    <mergeCell ref="E69:J69"/>
    <mergeCell ref="O69:U69"/>
    <mergeCell ref="E68:J68"/>
    <mergeCell ref="O68:U68"/>
    <mergeCell ref="C67:AB67"/>
    <mergeCell ref="C2:D2"/>
    <mergeCell ref="E2:F2"/>
    <mergeCell ref="G2:H2"/>
    <mergeCell ref="J2:O2"/>
    <mergeCell ref="C65:AB65"/>
    <mergeCell ref="P2:R2"/>
    <mergeCell ref="S2:T2"/>
    <mergeCell ref="V2:W2"/>
    <mergeCell ref="Y2:AA2"/>
  </mergeCells>
  <phoneticPr fontId="0" type="noConversion"/>
  <conditionalFormatting sqref="D72:X91 Y73:Y91 D85:Y85">
    <cfRule type="cellIs" dxfId="3" priority="8" stopIfTrue="1" operator="equal">
      <formula>0</formula>
    </cfRule>
  </conditionalFormatting>
  <dataValidations count="5">
    <dataValidation type="list" allowBlank="1" showInputMessage="1" showErrorMessage="1" sqref="P2:Q2" xr:uid="{00000000-0002-0000-0000-000000000000}">
      <formula1>$AC$68:$AC$70</formula1>
    </dataValidation>
    <dataValidation type="list" allowBlank="1" showInputMessage="1" showErrorMessage="1" sqref="E2:F2" xr:uid="{00000000-0002-0000-0000-000001000000}">
      <formula1>$AC$66:$AC$67</formula1>
    </dataValidation>
    <dataValidation type="list" allowBlank="1" showInputMessage="1" showErrorMessage="1" sqref="I2" xr:uid="{00000000-0002-0000-0000-000002000000}">
      <formula1>"10%,20%"</formula1>
    </dataValidation>
    <dataValidation type="list" allowBlank="1" showInputMessage="1" showErrorMessage="1" sqref="U2" xr:uid="{00000000-0002-0000-0000-000003000000}">
      <formula1>$AC$72:$AC$91</formula1>
    </dataValidation>
    <dataValidation type="list" allowBlank="1" showInputMessage="1" showErrorMessage="1" sqref="X2" xr:uid="{00000000-0002-0000-0000-000004000000}">
      <formula1>$AD$66:$AD$67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0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DR23"/>
  <sheetViews>
    <sheetView workbookViewId="0">
      <selection activeCell="E8" sqref="E8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22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186" t="s">
        <v>130</v>
      </c>
      <c r="B1" s="186"/>
      <c r="C1" s="186"/>
      <c r="D1" s="186"/>
      <c r="E1" s="186"/>
      <c r="F1" s="186"/>
    </row>
    <row r="2" spans="1:122" ht="27.75" customHeight="1">
      <c r="A2" s="187" t="str">
        <f>'Salary Seet'!E68</f>
        <v>PARMANAND MEGHWAL</v>
      </c>
      <c r="B2" s="187"/>
      <c r="C2" s="187"/>
      <c r="D2" s="187"/>
      <c r="E2" s="187"/>
      <c r="F2" s="187"/>
    </row>
    <row r="3" spans="1:122" ht="15" customHeight="1">
      <c r="A3" s="61" t="s">
        <v>112</v>
      </c>
      <c r="B3" s="37">
        <v>0</v>
      </c>
      <c r="C3" s="38"/>
      <c r="D3" s="61" t="s">
        <v>195</v>
      </c>
      <c r="E3" s="37">
        <v>0</v>
      </c>
      <c r="F3" s="33" t="s">
        <v>41</v>
      </c>
      <c r="DR3" s="5" t="s">
        <v>8</v>
      </c>
    </row>
    <row r="4" spans="1:122">
      <c r="A4" s="62" t="s">
        <v>131</v>
      </c>
      <c r="B4" s="39">
        <v>0</v>
      </c>
      <c r="C4" s="40"/>
      <c r="D4" s="63" t="s">
        <v>196</v>
      </c>
      <c r="E4" s="39">
        <v>0</v>
      </c>
      <c r="F4" s="33">
        <f>'Salary Seet'!D92+'Salary Seet'!H92</f>
        <v>1190780</v>
      </c>
      <c r="DR4" s="5"/>
    </row>
    <row r="5" spans="1:122" ht="15" customHeight="1">
      <c r="A5" s="61" t="s">
        <v>140</v>
      </c>
      <c r="B5" s="37">
        <v>0</v>
      </c>
      <c r="C5" s="38"/>
      <c r="D5" s="61" t="s">
        <v>197</v>
      </c>
      <c r="E5" s="37">
        <v>0</v>
      </c>
      <c r="F5" s="34" t="s">
        <v>16</v>
      </c>
      <c r="DR5" s="5"/>
    </row>
    <row r="6" spans="1:122" ht="17.25" customHeight="1">
      <c r="A6" s="63" t="s">
        <v>115</v>
      </c>
      <c r="B6" s="39">
        <v>0</v>
      </c>
      <c r="C6" s="40"/>
      <c r="D6" s="63" t="s">
        <v>198</v>
      </c>
      <c r="E6" s="39">
        <v>0</v>
      </c>
      <c r="F6" s="34">
        <f>'Tax Old Regime'!P49</f>
        <v>1197450</v>
      </c>
      <c r="DR6" s="5"/>
    </row>
    <row r="7" spans="1:122" ht="15" customHeight="1">
      <c r="A7" s="61" t="s">
        <v>114</v>
      </c>
      <c r="B7" s="37">
        <v>0</v>
      </c>
      <c r="C7" s="38"/>
      <c r="D7" s="65" t="s">
        <v>199</v>
      </c>
      <c r="E7" s="37">
        <v>0</v>
      </c>
      <c r="F7" s="35" t="s">
        <v>25</v>
      </c>
      <c r="DR7" s="5"/>
    </row>
    <row r="8" spans="1:122" ht="15" customHeight="1">
      <c r="A8" s="64" t="s">
        <v>143</v>
      </c>
      <c r="B8" s="41">
        <v>0</v>
      </c>
      <c r="C8" s="40"/>
      <c r="D8" s="63" t="s">
        <v>200</v>
      </c>
      <c r="E8" s="41">
        <v>0</v>
      </c>
      <c r="F8" s="36">
        <f>'Salary Seet'!X92</f>
        <v>12000</v>
      </c>
      <c r="DR8" s="5"/>
    </row>
    <row r="9" spans="1:122" ht="15" customHeight="1">
      <c r="A9" s="61" t="s">
        <v>113</v>
      </c>
      <c r="B9" s="37">
        <v>0</v>
      </c>
      <c r="C9" s="38"/>
      <c r="D9" s="61" t="s">
        <v>201</v>
      </c>
      <c r="E9" s="37">
        <v>0</v>
      </c>
      <c r="F9" s="188" t="s">
        <v>35</v>
      </c>
      <c r="DR9" s="5"/>
    </row>
    <row r="10" spans="1:122" ht="15" customHeight="1">
      <c r="A10" s="64" t="s">
        <v>116</v>
      </c>
      <c r="B10" s="41">
        <v>0</v>
      </c>
      <c r="C10" s="40"/>
      <c r="D10" s="64" t="s">
        <v>202</v>
      </c>
      <c r="E10" s="41">
        <v>0</v>
      </c>
      <c r="F10" s="188"/>
      <c r="DR10" s="5" t="s">
        <v>9</v>
      </c>
    </row>
    <row r="11" spans="1:122" ht="15" customHeight="1">
      <c r="A11" s="61" t="s">
        <v>117</v>
      </c>
      <c r="B11" s="37">
        <v>0</v>
      </c>
      <c r="C11" s="38"/>
      <c r="D11" s="61" t="s">
        <v>203</v>
      </c>
      <c r="E11" s="37">
        <v>0</v>
      </c>
      <c r="F11" s="188"/>
      <c r="DR11" s="5" t="s">
        <v>11</v>
      </c>
    </row>
    <row r="12" spans="1:122" ht="15" customHeight="1">
      <c r="A12" s="64" t="s">
        <v>125</v>
      </c>
      <c r="B12" s="41">
        <v>0</v>
      </c>
      <c r="C12" s="40"/>
      <c r="D12" s="64" t="s">
        <v>204</v>
      </c>
      <c r="E12" s="41">
        <v>0</v>
      </c>
      <c r="F12" s="34">
        <f>'Tax Old Regime'!P32</f>
        <v>48360</v>
      </c>
      <c r="DR12" s="5" t="s">
        <v>3</v>
      </c>
    </row>
    <row r="13" spans="1:122" ht="15" customHeight="1">
      <c r="A13" s="61" t="s">
        <v>118</v>
      </c>
      <c r="B13" s="37">
        <v>0</v>
      </c>
      <c r="C13" s="38"/>
      <c r="D13" s="61" t="s">
        <v>205</v>
      </c>
      <c r="E13" s="37">
        <v>0</v>
      </c>
      <c r="F13" s="34"/>
      <c r="DR13" s="5"/>
    </row>
    <row r="14" spans="1:122" ht="15" customHeight="1">
      <c r="A14" s="64" t="s">
        <v>120</v>
      </c>
      <c r="B14" s="41">
        <v>0</v>
      </c>
      <c r="C14" s="40"/>
      <c r="D14" s="66" t="s">
        <v>207</v>
      </c>
      <c r="E14" s="41">
        <v>0</v>
      </c>
      <c r="F14" s="189" t="s">
        <v>132</v>
      </c>
      <c r="DR14" s="5" t="s">
        <v>0</v>
      </c>
    </row>
    <row r="15" spans="1:122" ht="15" customHeight="1">
      <c r="A15" s="61" t="s">
        <v>121</v>
      </c>
      <c r="B15" s="37">
        <v>0</v>
      </c>
      <c r="C15" s="38"/>
      <c r="D15" s="61" t="s">
        <v>206</v>
      </c>
      <c r="E15" s="37">
        <v>0</v>
      </c>
      <c r="F15" s="189"/>
      <c r="DR15" s="5" t="s">
        <v>11</v>
      </c>
    </row>
    <row r="16" spans="1:122" ht="15" customHeight="1">
      <c r="A16" s="64" t="s">
        <v>122</v>
      </c>
      <c r="B16" s="41">
        <v>0</v>
      </c>
      <c r="C16" s="40"/>
      <c r="D16" s="64" t="s">
        <v>208</v>
      </c>
      <c r="E16" s="41">
        <v>0</v>
      </c>
      <c r="F16" s="189"/>
      <c r="DR16" s="5" t="s">
        <v>12</v>
      </c>
    </row>
    <row r="17" spans="1:122" ht="15" customHeight="1">
      <c r="A17" s="61" t="s">
        <v>123</v>
      </c>
      <c r="B17" s="37">
        <v>0</v>
      </c>
      <c r="C17" s="38"/>
      <c r="D17" s="61" t="s">
        <v>209</v>
      </c>
      <c r="E17" s="37">
        <v>0</v>
      </c>
      <c r="F17" s="192">
        <f>IF(B3&gt;=1,(F4*10%+B3),0)</f>
        <v>0</v>
      </c>
      <c r="DR17" s="5" t="s">
        <v>4</v>
      </c>
    </row>
    <row r="18" spans="1:122" ht="15" customHeight="1">
      <c r="A18" s="64" t="s">
        <v>124</v>
      </c>
      <c r="B18" s="41">
        <v>0</v>
      </c>
      <c r="C18" s="40"/>
      <c r="D18" s="64" t="s">
        <v>210</v>
      </c>
      <c r="E18" s="41">
        <v>0</v>
      </c>
      <c r="F18" s="192"/>
      <c r="DR18" s="5" t="s">
        <v>13</v>
      </c>
    </row>
    <row r="19" spans="1:122" s="104" customFormat="1" ht="15" customHeight="1">
      <c r="A19" s="100" t="s">
        <v>190</v>
      </c>
      <c r="B19" s="101">
        <v>0</v>
      </c>
      <c r="C19" s="102"/>
      <c r="D19" s="100" t="s">
        <v>194</v>
      </c>
      <c r="E19" s="101">
        <v>0</v>
      </c>
      <c r="F19" s="103"/>
      <c r="DR19" s="105"/>
    </row>
    <row r="20" spans="1:122" ht="15" customHeight="1">
      <c r="A20" s="191" t="str">
        <f>'Tax Old Regime'!A65</f>
        <v>Income Tax Payable</v>
      </c>
      <c r="B20" s="191"/>
      <c r="C20" s="30"/>
      <c r="D20" s="31">
        <f>'Tax Old Regime'!P65</f>
        <v>166604</v>
      </c>
      <c r="E20" s="42" t="s">
        <v>37</v>
      </c>
      <c r="F20" s="32">
        <f>'Salary Seet'!I92</f>
        <v>70248</v>
      </c>
      <c r="DR20" s="5" t="s">
        <v>6</v>
      </c>
    </row>
    <row r="21" spans="1:122" ht="15" customHeight="1">
      <c r="A21" s="190" t="str">
        <f>"Total Rebate of (US 80C, 80CCC,80CCD(1)) =  "&amp;'Tax Old Regime'!P32</f>
        <v>Total Rebate of (US 80C, 80CCC,80CCD(1)) =  48360</v>
      </c>
      <c r="B21" s="190"/>
      <c r="C21" s="2"/>
      <c r="D21" s="23" t="str">
        <f>"Investable Amount = "&amp;(150000-'Tax Old Regime'!P32)</f>
        <v>Investable Amount = 101640</v>
      </c>
      <c r="E21" s="2"/>
      <c r="F21" s="2"/>
      <c r="DR21" s="5" t="s">
        <v>10</v>
      </c>
    </row>
    <row r="22" spans="1:122" ht="48" customHeight="1">
      <c r="A22" s="184" t="s">
        <v>142</v>
      </c>
      <c r="B22" s="185"/>
      <c r="C22" s="185"/>
      <c r="D22" s="185"/>
      <c r="E22" s="185"/>
      <c r="F22" s="185"/>
    </row>
    <row r="23" spans="1:122" ht="24.75" customHeight="1">
      <c r="A23" s="183" t="s">
        <v>141</v>
      </c>
      <c r="B23" s="183"/>
      <c r="C23" s="183"/>
      <c r="D23" s="183"/>
      <c r="E23" s="183"/>
      <c r="F23" s="183"/>
    </row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3:F23"/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 xr:uid="{00000000-0002-0000-0100-000000000000}">
      <formula1>H18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100-000001000000}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 xr:uid="{00000000-0002-0000-0100-000002000000}">
      <formula1>G18</formula1>
    </dataValidation>
    <dataValidation type="whole" operator="lessThan" allowBlank="1" showInputMessage="1" showErrorMessage="1" error="Maximum 2 lakh allowed " sqref="B9" xr:uid="{00000000-0002-0000-0100-000003000000}">
      <formula1>200001</formula1>
    </dataValidation>
    <dataValidation type="whole" operator="lessThan" allowBlank="1" showInputMessage="1" showErrorMessage="1" sqref="E14" xr:uid="{00000000-0002-0000-0100-000004000000}">
      <formula1>10001</formula1>
    </dataValidation>
    <dataValidation type="whole" operator="lessThan" allowBlank="1" showInputMessage="1" showErrorMessage="1" error="max 5000 allowed" sqref="B4" xr:uid="{00000000-0002-0000-0100-000005000000}">
      <formula1>5001</formula1>
    </dataValidation>
    <dataValidation type="whole" operator="lessThan" allowBlank="1" showInputMessage="1" showErrorMessage="1" error="max 50000 allowed" sqref="E7" xr:uid="{00000000-0002-0000-0100-000006000000}">
      <formula1>50001</formula1>
    </dataValidation>
    <dataValidation type="whole" operator="lessThan" allowBlank="1" showInputMessage="1" showErrorMessage="1" error="max 25000 for senior citizen max 50000" sqref="E8" xr:uid="{00000000-0002-0000-0100-000007000000}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 xr:uid="{00000000-0002-0000-0100-000008000000}">
      <formula1>G20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0000FF"/>
  </sheetPr>
  <dimension ref="A1:R84"/>
  <sheetViews>
    <sheetView showGridLines="0" topLeftCell="A40" workbookViewId="0">
      <selection activeCell="P52" sqref="P52"/>
    </sheetView>
  </sheetViews>
  <sheetFormatPr defaultColWidth="0" defaultRowHeight="15.75" zeroHeight="1"/>
  <cols>
    <col min="1" max="1" width="4.5703125" style="152" customWidth="1" collapsed="1"/>
    <col min="2" max="2" width="4.5703125" style="153" customWidth="1" collapsed="1"/>
    <col min="3" max="4" width="9.140625" style="153" customWidth="1" collapsed="1"/>
    <col min="5" max="5" width="3.85546875" style="153" customWidth="1" collapsed="1"/>
    <col min="6" max="6" width="5.42578125" style="153" customWidth="1" collapsed="1"/>
    <col min="7" max="7" width="4.5703125" style="153" customWidth="1" collapsed="1"/>
    <col min="8" max="8" width="11.85546875" style="153" customWidth="1" collapsed="1"/>
    <col min="9" max="9" width="5.140625" style="153" customWidth="1" collapsed="1"/>
    <col min="10" max="10" width="11.7109375" style="153" customWidth="1" collapsed="1"/>
    <col min="11" max="11" width="11.42578125" style="153" customWidth="1" collapsed="1"/>
    <col min="12" max="12" width="9.42578125" style="153" customWidth="1" collapsed="1"/>
    <col min="13" max="13" width="4.5703125" style="153" customWidth="1" collapsed="1"/>
    <col min="14" max="14" width="12.7109375" style="153" customWidth="1" collapsed="1"/>
    <col min="15" max="15" width="3.85546875" style="154" customWidth="1" collapsed="1"/>
    <col min="16" max="16" width="19.28515625" style="155" customWidth="1" collapsed="1"/>
    <col min="17" max="17" width="2.42578125" style="136" customWidth="1" collapsed="1"/>
    <col min="18" max="18" width="0" style="136" hidden="1" customWidth="1"/>
    <col min="19" max="16384" width="9.140625" style="136" hidden="1" collapsed="1"/>
  </cols>
  <sheetData>
    <row r="1" spans="1:16" s="112" customFormat="1" ht="18.75">
      <c r="A1" s="260" t="str">
        <f>'Salary Seet'!C66</f>
        <v>Govt Senior Secondary School, Gordhanpura Baran.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</row>
    <row r="2" spans="1:16" s="112" customFormat="1" ht="21.75" thickBot="1">
      <c r="A2" s="261" t="s">
        <v>225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</row>
    <row r="3" spans="1:16" s="112" customFormat="1" ht="15" customHeight="1">
      <c r="A3" s="113">
        <v>1</v>
      </c>
      <c r="B3" s="262" t="s">
        <v>69</v>
      </c>
      <c r="C3" s="263"/>
      <c r="D3" s="276" t="str">
        <f>'Salary Seet'!$E$68</f>
        <v>PARMANAND MEGHWAL</v>
      </c>
      <c r="E3" s="276"/>
      <c r="F3" s="276"/>
      <c r="G3" s="276"/>
      <c r="H3" s="276"/>
      <c r="I3" s="276"/>
      <c r="J3" s="114" t="s">
        <v>45</v>
      </c>
      <c r="K3" s="277" t="str">
        <f>'Salary Seet'!O68</f>
        <v>PRINCIPAL</v>
      </c>
      <c r="L3" s="277"/>
      <c r="M3" s="277"/>
      <c r="N3" s="115" t="s">
        <v>17</v>
      </c>
      <c r="O3" s="264" t="str">
        <f>'Salary Seet'!AB68</f>
        <v>AAAAAAA</v>
      </c>
      <c r="P3" s="265"/>
    </row>
    <row r="4" spans="1:16" s="112" customFormat="1" ht="15" customHeight="1">
      <c r="A4" s="116">
        <v>2</v>
      </c>
      <c r="B4" s="266" t="s">
        <v>70</v>
      </c>
      <c r="C4" s="266"/>
      <c r="D4" s="204"/>
      <c r="E4" s="204"/>
      <c r="F4" s="204"/>
      <c r="G4" s="204"/>
      <c r="H4" s="204"/>
      <c r="I4" s="204"/>
      <c r="J4" s="266"/>
      <c r="K4" s="204"/>
      <c r="L4" s="204"/>
      <c r="M4" s="204"/>
      <c r="N4" s="266"/>
      <c r="O4" s="117" t="s">
        <v>57</v>
      </c>
      <c r="P4" s="118">
        <f>IF('Salary Seet'!E2="No",'Salary Seet'!O92,('Salary Seet'!O92+'Salary Seet'!P92))</f>
        <v>1323812</v>
      </c>
    </row>
    <row r="5" spans="1:16" s="112" customFormat="1" ht="15" customHeight="1">
      <c r="A5" s="116">
        <v>3</v>
      </c>
      <c r="B5" s="267" t="s">
        <v>191</v>
      </c>
      <c r="C5" s="267"/>
      <c r="D5" s="267"/>
      <c r="E5" s="267"/>
      <c r="F5" s="267"/>
      <c r="G5" s="267"/>
      <c r="H5" s="267"/>
      <c r="I5" s="267"/>
      <c r="J5" s="267"/>
      <c r="K5" s="267"/>
      <c r="L5" s="267"/>
      <c r="M5" s="267"/>
      <c r="N5" s="267"/>
      <c r="O5" s="117" t="s">
        <v>57</v>
      </c>
      <c r="P5" s="119">
        <f>'Other Deduction'!B3</f>
        <v>0</v>
      </c>
    </row>
    <row r="6" spans="1:16" s="112" customFormat="1" ht="15" customHeight="1">
      <c r="A6" s="116"/>
      <c r="B6" s="284" t="s">
        <v>192</v>
      </c>
      <c r="C6" s="285"/>
      <c r="D6" s="285"/>
      <c r="E6" s="285"/>
      <c r="F6" s="285"/>
      <c r="G6" s="285"/>
      <c r="H6" s="285"/>
      <c r="I6" s="285"/>
      <c r="J6" s="285"/>
      <c r="K6" s="285"/>
      <c r="L6" s="285"/>
      <c r="M6" s="285"/>
      <c r="N6" s="286"/>
      <c r="O6" s="117"/>
      <c r="P6" s="119">
        <f>'Other Deduction'!B19</f>
        <v>0</v>
      </c>
    </row>
    <row r="7" spans="1:16" s="112" customFormat="1" ht="15" customHeight="1">
      <c r="A7" s="116">
        <v>4</v>
      </c>
      <c r="B7" s="268" t="s">
        <v>18</v>
      </c>
      <c r="C7" s="268"/>
      <c r="D7" s="268"/>
      <c r="E7" s="268"/>
      <c r="F7" s="268"/>
      <c r="G7" s="268"/>
      <c r="H7" s="268"/>
      <c r="I7" s="268"/>
      <c r="J7" s="268"/>
      <c r="K7" s="268"/>
      <c r="L7" s="268"/>
      <c r="M7" s="268"/>
      <c r="N7" s="268"/>
      <c r="O7" s="117" t="s">
        <v>57</v>
      </c>
      <c r="P7" s="119">
        <f>P4-P5-P6</f>
        <v>1323812</v>
      </c>
    </row>
    <row r="8" spans="1:16" s="112" customFormat="1" ht="15" customHeight="1">
      <c r="A8" s="201">
        <v>5</v>
      </c>
      <c r="B8" s="272" t="s">
        <v>78</v>
      </c>
      <c r="C8" s="273"/>
      <c r="D8" s="273"/>
      <c r="E8" s="273"/>
      <c r="F8" s="273"/>
      <c r="G8" s="273"/>
      <c r="H8" s="273"/>
      <c r="I8" s="273"/>
      <c r="J8" s="273"/>
      <c r="K8" s="273"/>
      <c r="L8" s="274">
        <f>'Other Deduction'!B4</f>
        <v>0</v>
      </c>
      <c r="M8" s="274"/>
      <c r="N8" s="274"/>
      <c r="O8" s="249"/>
      <c r="P8" s="281"/>
    </row>
    <row r="9" spans="1:16" s="112" customFormat="1" ht="15" customHeight="1">
      <c r="A9" s="202"/>
      <c r="B9" s="226" t="s">
        <v>79</v>
      </c>
      <c r="C9" s="227"/>
      <c r="D9" s="227"/>
      <c r="E9" s="227"/>
      <c r="F9" s="227"/>
      <c r="G9" s="227"/>
      <c r="H9" s="227"/>
      <c r="I9" s="227"/>
      <c r="J9" s="227"/>
      <c r="K9" s="227"/>
      <c r="L9" s="274">
        <f>'Other Deduction'!B5</f>
        <v>0</v>
      </c>
      <c r="M9" s="274"/>
      <c r="N9" s="274"/>
      <c r="O9" s="251"/>
      <c r="P9" s="282"/>
    </row>
    <row r="10" spans="1:16" s="112" customFormat="1" ht="15" customHeight="1">
      <c r="A10" s="202"/>
      <c r="B10" s="226" t="s">
        <v>151</v>
      </c>
      <c r="C10" s="227"/>
      <c r="D10" s="227"/>
      <c r="E10" s="227"/>
      <c r="F10" s="227"/>
      <c r="G10" s="227"/>
      <c r="H10" s="227"/>
      <c r="I10" s="227"/>
      <c r="J10" s="227"/>
      <c r="K10" s="228"/>
      <c r="L10" s="278">
        <f>'Salary Seet'!U92</f>
        <v>3000</v>
      </c>
      <c r="M10" s="279"/>
      <c r="N10" s="280"/>
      <c r="O10" s="253"/>
      <c r="P10" s="283"/>
    </row>
    <row r="11" spans="1:16" s="112" customFormat="1" ht="15" customHeight="1">
      <c r="A11" s="203"/>
      <c r="B11" s="275" t="s">
        <v>150</v>
      </c>
      <c r="C11" s="273"/>
      <c r="D11" s="273"/>
      <c r="E11" s="273"/>
      <c r="F11" s="273"/>
      <c r="G11" s="273"/>
      <c r="H11" s="273"/>
      <c r="I11" s="273"/>
      <c r="J11" s="273"/>
      <c r="K11" s="273"/>
      <c r="L11" s="274">
        <v>75000</v>
      </c>
      <c r="M11" s="274"/>
      <c r="N11" s="274"/>
      <c r="O11" s="117" t="s">
        <v>57</v>
      </c>
      <c r="P11" s="119">
        <f>SUM(L8:N11)</f>
        <v>78000</v>
      </c>
    </row>
    <row r="12" spans="1:16" s="112" customFormat="1" ht="15" customHeight="1">
      <c r="A12" s="116">
        <v>6</v>
      </c>
      <c r="B12" s="269" t="s">
        <v>72</v>
      </c>
      <c r="C12" s="270"/>
      <c r="D12" s="270"/>
      <c r="E12" s="270"/>
      <c r="F12" s="270"/>
      <c r="G12" s="270"/>
      <c r="H12" s="270"/>
      <c r="I12" s="270"/>
      <c r="J12" s="270"/>
      <c r="K12" s="270"/>
      <c r="L12" s="270"/>
      <c r="M12" s="270"/>
      <c r="N12" s="271"/>
      <c r="O12" s="117" t="s">
        <v>57</v>
      </c>
      <c r="P12" s="119">
        <f>P7-P11</f>
        <v>1245812</v>
      </c>
    </row>
    <row r="13" spans="1:16" s="112" customFormat="1" ht="15" customHeight="1">
      <c r="A13" s="311">
        <v>7</v>
      </c>
      <c r="B13" s="204" t="s">
        <v>73</v>
      </c>
      <c r="C13" s="204"/>
      <c r="D13" s="204"/>
      <c r="E13" s="204"/>
      <c r="F13" s="204"/>
      <c r="G13" s="204"/>
      <c r="H13" s="204"/>
      <c r="I13" s="204"/>
      <c r="J13" s="293" t="s">
        <v>74</v>
      </c>
      <c r="K13" s="293"/>
      <c r="L13" s="274">
        <f>'Other Deduction'!B6</f>
        <v>0</v>
      </c>
      <c r="M13" s="274"/>
      <c r="N13" s="274"/>
      <c r="O13" s="288"/>
      <c r="P13" s="289"/>
    </row>
    <row r="14" spans="1:16" s="112" customFormat="1" ht="27.75" customHeight="1">
      <c r="A14" s="311"/>
      <c r="B14" s="315" t="s">
        <v>76</v>
      </c>
      <c r="C14" s="316"/>
      <c r="D14" s="312" t="s">
        <v>75</v>
      </c>
      <c r="E14" s="313"/>
      <c r="F14" s="314"/>
      <c r="G14" s="290" t="s">
        <v>77</v>
      </c>
      <c r="H14" s="291"/>
      <c r="I14" s="292"/>
      <c r="J14" s="293" t="s">
        <v>80</v>
      </c>
      <c r="K14" s="293"/>
      <c r="L14" s="293" t="s">
        <v>44</v>
      </c>
      <c r="M14" s="293"/>
      <c r="N14" s="293"/>
      <c r="O14" s="288"/>
      <c r="P14" s="289"/>
    </row>
    <row r="15" spans="1:16" s="112" customFormat="1" ht="15" customHeight="1">
      <c r="A15" s="311"/>
      <c r="B15" s="317"/>
      <c r="C15" s="318"/>
      <c r="D15" s="278">
        <f>ROUND(L13*0.3,0)</f>
        <v>0</v>
      </c>
      <c r="E15" s="279"/>
      <c r="F15" s="280"/>
      <c r="G15" s="278">
        <f>IF(('Salary Seet'!W92+'Other Deduction'!B9)&gt;200000,200000,('Salary Seet'!W92+'Other Deduction'!B9))</f>
        <v>0</v>
      </c>
      <c r="H15" s="279"/>
      <c r="I15" s="280"/>
      <c r="J15" s="274">
        <f>'Other Deduction'!B7</f>
        <v>0</v>
      </c>
      <c r="K15" s="274"/>
      <c r="L15" s="274">
        <f>D15+G15+J15</f>
        <v>0</v>
      </c>
      <c r="M15" s="274"/>
      <c r="N15" s="274"/>
      <c r="O15" s="288"/>
      <c r="P15" s="289"/>
    </row>
    <row r="16" spans="1:16" s="112" customFormat="1" ht="15" customHeight="1">
      <c r="A16" s="116"/>
      <c r="B16" s="269" t="s">
        <v>81</v>
      </c>
      <c r="C16" s="270"/>
      <c r="D16" s="270"/>
      <c r="E16" s="270"/>
      <c r="F16" s="270"/>
      <c r="G16" s="270"/>
      <c r="H16" s="270"/>
      <c r="I16" s="270"/>
      <c r="J16" s="270"/>
      <c r="K16" s="270"/>
      <c r="L16" s="270"/>
      <c r="M16" s="270"/>
      <c r="N16" s="271"/>
      <c r="O16" s="117" t="s">
        <v>57</v>
      </c>
      <c r="P16" s="119">
        <f>L13-L15</f>
        <v>0</v>
      </c>
    </row>
    <row r="17" spans="1:16" s="112" customFormat="1" ht="15" customHeight="1">
      <c r="A17" s="116">
        <v>8</v>
      </c>
      <c r="B17" s="269" t="s">
        <v>82</v>
      </c>
      <c r="C17" s="270"/>
      <c r="D17" s="270"/>
      <c r="E17" s="270"/>
      <c r="F17" s="270"/>
      <c r="G17" s="270"/>
      <c r="H17" s="270"/>
      <c r="I17" s="270"/>
      <c r="J17" s="270"/>
      <c r="K17" s="270"/>
      <c r="L17" s="270"/>
      <c r="M17" s="270"/>
      <c r="N17" s="271"/>
      <c r="O17" s="117" t="s">
        <v>57</v>
      </c>
      <c r="P17" s="119">
        <f>P12+P16</f>
        <v>1245812</v>
      </c>
    </row>
    <row r="18" spans="1:16" s="112" customFormat="1" ht="15" customHeight="1">
      <c r="A18" s="116">
        <v>9</v>
      </c>
      <c r="B18" s="204" t="s">
        <v>83</v>
      </c>
      <c r="C18" s="204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117" t="s">
        <v>57</v>
      </c>
      <c r="P18" s="119">
        <f>'Other Deduction'!E3+'Other Deduction'!E4</f>
        <v>0</v>
      </c>
    </row>
    <row r="19" spans="1:16" s="112" customFormat="1" ht="15" customHeight="1">
      <c r="A19" s="116">
        <v>10</v>
      </c>
      <c r="B19" s="204" t="s">
        <v>84</v>
      </c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117" t="s">
        <v>57</v>
      </c>
      <c r="P19" s="118">
        <f>P17+P18</f>
        <v>1245812</v>
      </c>
    </row>
    <row r="20" spans="1:16" s="112" customFormat="1" ht="15" customHeight="1">
      <c r="A20" s="201">
        <v>11</v>
      </c>
      <c r="B20" s="296" t="s">
        <v>85</v>
      </c>
      <c r="C20" s="296"/>
      <c r="D20" s="296"/>
      <c r="E20" s="296"/>
      <c r="F20" s="296"/>
      <c r="G20" s="296"/>
      <c r="H20" s="296"/>
      <c r="I20" s="296"/>
      <c r="J20" s="296"/>
      <c r="K20" s="296"/>
      <c r="L20" s="296"/>
      <c r="M20" s="296"/>
      <c r="N20" s="296"/>
      <c r="O20" s="296"/>
      <c r="P20" s="297"/>
    </row>
    <row r="21" spans="1:16" s="112" customFormat="1" ht="18" customHeight="1">
      <c r="A21" s="202"/>
      <c r="B21" s="296" t="s">
        <v>127</v>
      </c>
      <c r="C21" s="296"/>
      <c r="D21" s="296"/>
      <c r="E21" s="296"/>
      <c r="F21" s="296"/>
      <c r="G21" s="296"/>
      <c r="H21" s="296"/>
      <c r="I21" s="296"/>
      <c r="J21" s="296"/>
      <c r="K21" s="296"/>
      <c r="L21" s="296"/>
      <c r="M21" s="296"/>
      <c r="N21" s="296"/>
      <c r="O21" s="296"/>
      <c r="P21" s="297"/>
    </row>
    <row r="22" spans="1:16" s="112" customFormat="1" ht="14.25" customHeight="1">
      <c r="A22" s="202"/>
      <c r="B22" s="120">
        <v>1</v>
      </c>
      <c r="C22" s="255" t="s">
        <v>126</v>
      </c>
      <c r="D22" s="256"/>
      <c r="E22" s="256"/>
      <c r="F22" s="256"/>
      <c r="G22" s="117" t="s">
        <v>57</v>
      </c>
      <c r="H22" s="121">
        <f>IF('Salary Seet'!E2&lt;&gt;"No",'Salary Seet'!P92,0)</f>
        <v>0</v>
      </c>
      <c r="I22" s="120">
        <v>10</v>
      </c>
      <c r="J22" s="240" t="s">
        <v>56</v>
      </c>
      <c r="K22" s="241"/>
      <c r="L22" s="242"/>
      <c r="M22" s="117" t="s">
        <v>57</v>
      </c>
      <c r="N22" s="121">
        <f>'Other Deduction'!E6</f>
        <v>0</v>
      </c>
      <c r="O22" s="249"/>
      <c r="P22" s="250"/>
    </row>
    <row r="23" spans="1:16" s="112" customFormat="1" ht="26.25" customHeight="1">
      <c r="A23" s="202"/>
      <c r="B23" s="120">
        <v>2</v>
      </c>
      <c r="C23" s="255" t="s">
        <v>52</v>
      </c>
      <c r="D23" s="256"/>
      <c r="E23" s="256"/>
      <c r="F23" s="256"/>
      <c r="G23" s="117" t="s">
        <v>57</v>
      </c>
      <c r="H23" s="121">
        <f>'Salary Seet'!T92+'Other Deduction'!B10</f>
        <v>0</v>
      </c>
      <c r="I23" s="120">
        <v>11</v>
      </c>
      <c r="J23" s="257" t="s">
        <v>58</v>
      </c>
      <c r="K23" s="258"/>
      <c r="L23" s="259"/>
      <c r="M23" s="117" t="s">
        <v>57</v>
      </c>
      <c r="N23" s="122">
        <f>'Other Deduction'!B15</f>
        <v>0</v>
      </c>
      <c r="O23" s="251"/>
      <c r="P23" s="252"/>
    </row>
    <row r="24" spans="1:16" s="112" customFormat="1" ht="14.25" customHeight="1">
      <c r="A24" s="202"/>
      <c r="B24" s="120">
        <v>3</v>
      </c>
      <c r="C24" s="255" t="s">
        <v>53</v>
      </c>
      <c r="D24" s="256"/>
      <c r="E24" s="256"/>
      <c r="F24" s="256"/>
      <c r="G24" s="117" t="s">
        <v>57</v>
      </c>
      <c r="H24" s="121">
        <f>'Other Deduction'!B14</f>
        <v>0</v>
      </c>
      <c r="I24" s="120">
        <v>12</v>
      </c>
      <c r="J24" s="257" t="s">
        <v>59</v>
      </c>
      <c r="K24" s="258"/>
      <c r="L24" s="259"/>
      <c r="M24" s="117" t="s">
        <v>57</v>
      </c>
      <c r="N24" s="122">
        <f>'Other Deduction'!B12</f>
        <v>0</v>
      </c>
      <c r="O24" s="251"/>
      <c r="P24" s="252"/>
    </row>
    <row r="25" spans="1:16" s="112" customFormat="1" ht="15" customHeight="1">
      <c r="A25" s="202"/>
      <c r="B25" s="120">
        <v>4</v>
      </c>
      <c r="C25" s="255" t="s">
        <v>65</v>
      </c>
      <c r="D25" s="256"/>
      <c r="E25" s="256"/>
      <c r="F25" s="256"/>
      <c r="G25" s="117" t="s">
        <v>57</v>
      </c>
      <c r="H25" s="121">
        <f>'Other Deduction'!B16</f>
        <v>0</v>
      </c>
      <c r="I25" s="120">
        <v>13</v>
      </c>
      <c r="J25" s="257" t="s">
        <v>60</v>
      </c>
      <c r="K25" s="258"/>
      <c r="L25" s="259"/>
      <c r="M25" s="117" t="s">
        <v>57</v>
      </c>
      <c r="N25" s="121">
        <f>'Other Deduction'!E15</f>
        <v>0</v>
      </c>
      <c r="O25" s="251"/>
      <c r="P25" s="252"/>
    </row>
    <row r="26" spans="1:16" s="112" customFormat="1" ht="15.75" customHeight="1">
      <c r="A26" s="202"/>
      <c r="B26" s="120">
        <v>5</v>
      </c>
      <c r="C26" s="255" t="s">
        <v>66</v>
      </c>
      <c r="D26" s="256"/>
      <c r="E26" s="256"/>
      <c r="F26" s="256"/>
      <c r="G26" s="117" t="s">
        <v>57</v>
      </c>
      <c r="H26" s="121">
        <f>'Other Deduction'!B17</f>
        <v>0</v>
      </c>
      <c r="I26" s="120">
        <v>14</v>
      </c>
      <c r="J26" s="240" t="s">
        <v>61</v>
      </c>
      <c r="K26" s="294"/>
      <c r="L26" s="295"/>
      <c r="M26" s="117" t="s">
        <v>57</v>
      </c>
      <c r="N26" s="121">
        <f>'Other Deduction'!E16</f>
        <v>0</v>
      </c>
      <c r="O26" s="251"/>
      <c r="P26" s="252"/>
    </row>
    <row r="27" spans="1:16" s="112" customFormat="1" ht="15.75" customHeight="1">
      <c r="A27" s="202"/>
      <c r="B27" s="120">
        <v>6</v>
      </c>
      <c r="C27" s="240" t="s">
        <v>119</v>
      </c>
      <c r="D27" s="294"/>
      <c r="E27" s="294"/>
      <c r="F27" s="295"/>
      <c r="G27" s="117" t="s">
        <v>57</v>
      </c>
      <c r="H27" s="121">
        <f>IF('Salary Seet'!E2&lt;&gt;"Yes",'Salary Seet'!P92,0)</f>
        <v>48000</v>
      </c>
      <c r="I27" s="120">
        <v>15</v>
      </c>
      <c r="J27" s="240" t="s">
        <v>62</v>
      </c>
      <c r="K27" s="294"/>
      <c r="L27" s="295"/>
      <c r="M27" s="117" t="s">
        <v>57</v>
      </c>
      <c r="N27" s="121">
        <f>'Other Deduction'!B11</f>
        <v>0</v>
      </c>
      <c r="O27" s="251"/>
      <c r="P27" s="252"/>
    </row>
    <row r="28" spans="1:16" s="112" customFormat="1" ht="15" customHeight="1">
      <c r="A28" s="202"/>
      <c r="B28" s="120">
        <v>7</v>
      </c>
      <c r="C28" s="240" t="s">
        <v>54</v>
      </c>
      <c r="D28" s="294"/>
      <c r="E28" s="294"/>
      <c r="F28" s="295"/>
      <c r="G28" s="117" t="s">
        <v>57</v>
      </c>
      <c r="H28" s="122">
        <f>'Salary Seet'!R92</f>
        <v>360</v>
      </c>
      <c r="I28" s="120">
        <v>16</v>
      </c>
      <c r="J28" s="240" t="s">
        <v>63</v>
      </c>
      <c r="K28" s="241"/>
      <c r="L28" s="242"/>
      <c r="M28" s="117" t="s">
        <v>57</v>
      </c>
      <c r="N28" s="121">
        <f>'Other Deduction'!E5</f>
        <v>0</v>
      </c>
      <c r="O28" s="251"/>
      <c r="P28" s="252"/>
    </row>
    <row r="29" spans="1:16" s="112" customFormat="1" ht="15.75" customHeight="1">
      <c r="A29" s="202"/>
      <c r="B29" s="120">
        <v>8</v>
      </c>
      <c r="C29" s="255" t="s">
        <v>55</v>
      </c>
      <c r="D29" s="255"/>
      <c r="E29" s="255"/>
      <c r="F29" s="255"/>
      <c r="G29" s="117" t="s">
        <v>57</v>
      </c>
      <c r="H29" s="122">
        <f>'Other Deduction'!B13</f>
        <v>0</v>
      </c>
      <c r="I29" s="120">
        <v>17</v>
      </c>
      <c r="J29" s="257" t="s">
        <v>64</v>
      </c>
      <c r="K29" s="258"/>
      <c r="L29" s="259"/>
      <c r="M29" s="117" t="s">
        <v>57</v>
      </c>
      <c r="N29" s="121">
        <f>'Other Deduction'!B18</f>
        <v>0</v>
      </c>
      <c r="O29" s="251"/>
      <c r="P29" s="252"/>
    </row>
    <row r="30" spans="1:16" s="112" customFormat="1" ht="27" customHeight="1">
      <c r="A30" s="202"/>
      <c r="B30" s="123">
        <v>9</v>
      </c>
      <c r="C30" s="238" t="s">
        <v>144</v>
      </c>
      <c r="D30" s="238"/>
      <c r="E30" s="238"/>
      <c r="F30" s="238"/>
      <c r="G30" s="124" t="s">
        <v>57</v>
      </c>
      <c r="H30" s="125">
        <f>'Other Deduction'!B8</f>
        <v>0</v>
      </c>
      <c r="I30" s="123">
        <v>18</v>
      </c>
      <c r="J30" s="238"/>
      <c r="K30" s="238"/>
      <c r="L30" s="238"/>
      <c r="M30" s="124" t="s">
        <v>57</v>
      </c>
      <c r="N30" s="121"/>
      <c r="O30" s="251"/>
      <c r="P30" s="252"/>
    </row>
    <row r="31" spans="1:16" s="112" customFormat="1" ht="15" customHeight="1">
      <c r="A31" s="202"/>
      <c r="B31" s="298" t="s">
        <v>68</v>
      </c>
      <c r="C31" s="299"/>
      <c r="D31" s="299"/>
      <c r="E31" s="299"/>
      <c r="F31" s="299"/>
      <c r="G31" s="299"/>
      <c r="H31" s="299"/>
      <c r="I31" s="299"/>
      <c r="J31" s="299"/>
      <c r="K31" s="299"/>
      <c r="L31" s="300"/>
      <c r="M31" s="124" t="s">
        <v>57</v>
      </c>
      <c r="N31" s="157">
        <f>SUM(H22:H30)+SUM(N22:N30)</f>
        <v>48360</v>
      </c>
      <c r="O31" s="253"/>
      <c r="P31" s="254"/>
    </row>
    <row r="32" spans="1:16" s="112" customFormat="1" ht="16.5" customHeight="1">
      <c r="A32" s="202"/>
      <c r="B32" s="239" t="s">
        <v>67</v>
      </c>
      <c r="C32" s="239"/>
      <c r="D32" s="239"/>
      <c r="E32" s="239"/>
      <c r="F32" s="239"/>
      <c r="G32" s="239"/>
      <c r="H32" s="239"/>
      <c r="I32" s="239"/>
      <c r="J32" s="239"/>
      <c r="K32" s="239"/>
      <c r="L32" s="239"/>
      <c r="M32" s="239"/>
      <c r="N32" s="239"/>
      <c r="O32" s="124" t="s">
        <v>57</v>
      </c>
      <c r="P32" s="118">
        <f>IF(N31&lt;150001,ROUND(N31,0),150000)</f>
        <v>48360</v>
      </c>
    </row>
    <row r="33" spans="1:16" s="112" customFormat="1" ht="17.25" customHeight="1">
      <c r="A33" s="127"/>
      <c r="B33" s="305" t="s">
        <v>218</v>
      </c>
      <c r="C33" s="306"/>
      <c r="D33" s="306"/>
      <c r="E33" s="306"/>
      <c r="F33" s="306"/>
      <c r="G33" s="306"/>
      <c r="H33" s="306"/>
      <c r="I33" s="306"/>
      <c r="J33" s="306"/>
      <c r="K33" s="306"/>
      <c r="L33" s="306"/>
      <c r="M33" s="306"/>
      <c r="N33" s="307"/>
      <c r="O33" s="124" t="s">
        <v>57</v>
      </c>
      <c r="P33" s="128">
        <f>IF('Salary Seet'!E2="Yes",'Salary Seet'!Q92,0)</f>
        <v>0</v>
      </c>
    </row>
    <row r="34" spans="1:16" s="112" customFormat="1" ht="15" customHeight="1">
      <c r="A34" s="127"/>
      <c r="B34" s="302" t="s">
        <v>128</v>
      </c>
      <c r="C34" s="303"/>
      <c r="D34" s="303"/>
      <c r="E34" s="303"/>
      <c r="F34" s="303"/>
      <c r="G34" s="303"/>
      <c r="H34" s="303"/>
      <c r="I34" s="303"/>
      <c r="J34" s="303"/>
      <c r="K34" s="303"/>
      <c r="L34" s="303"/>
      <c r="M34" s="303"/>
      <c r="N34" s="304"/>
      <c r="O34" s="124" t="s">
        <v>57</v>
      </c>
      <c r="P34" s="118">
        <f>'Other Deduction'!E7</f>
        <v>0</v>
      </c>
    </row>
    <row r="35" spans="1:16" s="112" customFormat="1" ht="15" customHeight="1">
      <c r="A35" s="127"/>
      <c r="B35" s="308" t="s">
        <v>129</v>
      </c>
      <c r="C35" s="309"/>
      <c r="D35" s="309"/>
      <c r="E35" s="309"/>
      <c r="F35" s="309"/>
      <c r="G35" s="309"/>
      <c r="H35" s="309"/>
      <c r="I35" s="309"/>
      <c r="J35" s="309"/>
      <c r="K35" s="309"/>
      <c r="L35" s="309"/>
      <c r="M35" s="309"/>
      <c r="N35" s="310"/>
      <c r="O35" s="124"/>
      <c r="P35" s="118">
        <f>P32+P33+P34</f>
        <v>48360</v>
      </c>
    </row>
    <row r="36" spans="1:16" s="112" customFormat="1" ht="15" customHeight="1">
      <c r="A36" s="201">
        <v>12</v>
      </c>
      <c r="B36" s="243" t="s">
        <v>86</v>
      </c>
      <c r="C36" s="243"/>
      <c r="D36" s="243"/>
      <c r="E36" s="243"/>
      <c r="F36" s="243"/>
      <c r="G36" s="243"/>
      <c r="H36" s="243"/>
      <c r="I36" s="243"/>
      <c r="J36" s="243"/>
      <c r="K36" s="243"/>
      <c r="L36" s="243"/>
      <c r="M36" s="243"/>
      <c r="N36" s="243"/>
      <c r="O36" s="243"/>
      <c r="P36" s="244"/>
    </row>
    <row r="37" spans="1:16" s="112" customFormat="1" ht="27.75" customHeight="1">
      <c r="A37" s="202"/>
      <c r="B37" s="240" t="s">
        <v>87</v>
      </c>
      <c r="C37" s="241"/>
      <c r="D37" s="241"/>
      <c r="E37" s="241"/>
      <c r="F37" s="241"/>
      <c r="G37" s="241"/>
      <c r="H37" s="241"/>
      <c r="I37" s="241"/>
      <c r="J37" s="241"/>
      <c r="K37" s="241"/>
      <c r="L37" s="241"/>
      <c r="M37" s="241"/>
      <c r="N37" s="242"/>
      <c r="O37" s="124" t="s">
        <v>57</v>
      </c>
      <c r="P37" s="119">
        <f>'Other Deduction'!E8</f>
        <v>0</v>
      </c>
    </row>
    <row r="38" spans="1:16" s="112" customFormat="1" ht="17.25" customHeight="1">
      <c r="A38" s="202"/>
      <c r="B38" s="245" t="s">
        <v>139</v>
      </c>
      <c r="C38" s="245"/>
      <c r="D38" s="245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124" t="s">
        <v>57</v>
      </c>
      <c r="P38" s="119">
        <f>'Other Deduction'!E9</f>
        <v>0</v>
      </c>
    </row>
    <row r="39" spans="1:16" s="112" customFormat="1" ht="18" customHeight="1">
      <c r="A39" s="202"/>
      <c r="B39" s="245" t="s">
        <v>138</v>
      </c>
      <c r="C39" s="245"/>
      <c r="D39" s="245"/>
      <c r="E39" s="245"/>
      <c r="F39" s="245"/>
      <c r="G39" s="245"/>
      <c r="H39" s="245"/>
      <c r="I39" s="245"/>
      <c r="J39" s="245"/>
      <c r="K39" s="245"/>
      <c r="L39" s="245"/>
      <c r="M39" s="245"/>
      <c r="N39" s="245"/>
      <c r="O39" s="124" t="s">
        <v>57</v>
      </c>
      <c r="P39" s="119">
        <f>'Other Deduction'!E10</f>
        <v>0</v>
      </c>
    </row>
    <row r="40" spans="1:16" s="112" customFormat="1" ht="16.5" customHeight="1">
      <c r="A40" s="202"/>
      <c r="B40" s="245" t="s">
        <v>137</v>
      </c>
      <c r="C40" s="245"/>
      <c r="D40" s="245"/>
      <c r="E40" s="245"/>
      <c r="F40" s="245"/>
      <c r="G40" s="245"/>
      <c r="H40" s="245"/>
      <c r="I40" s="245"/>
      <c r="J40" s="245"/>
      <c r="K40" s="245"/>
      <c r="L40" s="245"/>
      <c r="M40" s="245"/>
      <c r="N40" s="245"/>
      <c r="O40" s="124" t="s">
        <v>57</v>
      </c>
      <c r="P40" s="119">
        <f>'Other Deduction'!E11</f>
        <v>0</v>
      </c>
    </row>
    <row r="41" spans="1:16" s="112" customFormat="1" ht="16.5" customHeight="1">
      <c r="A41" s="202"/>
      <c r="B41" s="245" t="s">
        <v>136</v>
      </c>
      <c r="C41" s="245"/>
      <c r="D41" s="245"/>
      <c r="E41" s="245"/>
      <c r="F41" s="245"/>
      <c r="G41" s="245"/>
      <c r="H41" s="245"/>
      <c r="I41" s="245"/>
      <c r="J41" s="245"/>
      <c r="K41" s="245"/>
      <c r="L41" s="245"/>
      <c r="M41" s="245"/>
      <c r="N41" s="245"/>
      <c r="O41" s="124" t="s">
        <v>57</v>
      </c>
      <c r="P41" s="119">
        <f>'Other Deduction'!E12</f>
        <v>0</v>
      </c>
    </row>
    <row r="42" spans="1:16" s="112" customFormat="1" ht="15" customHeight="1">
      <c r="A42" s="202"/>
      <c r="B42" s="240" t="s">
        <v>135</v>
      </c>
      <c r="C42" s="241"/>
      <c r="D42" s="241"/>
      <c r="E42" s="241"/>
      <c r="F42" s="241"/>
      <c r="G42" s="241"/>
      <c r="H42" s="241"/>
      <c r="I42" s="241"/>
      <c r="J42" s="241"/>
      <c r="K42" s="241"/>
      <c r="L42" s="241"/>
      <c r="M42" s="241"/>
      <c r="N42" s="242"/>
      <c r="O42" s="124" t="s">
        <v>57</v>
      </c>
      <c r="P42" s="119">
        <f>'Other Deduction'!E13</f>
        <v>0</v>
      </c>
    </row>
    <row r="43" spans="1:16" s="112" customFormat="1" ht="17.25" customHeight="1">
      <c r="A43" s="202"/>
      <c r="B43" s="246" t="s">
        <v>134</v>
      </c>
      <c r="C43" s="247"/>
      <c r="D43" s="247"/>
      <c r="E43" s="247"/>
      <c r="F43" s="247"/>
      <c r="G43" s="247"/>
      <c r="H43" s="247"/>
      <c r="I43" s="247"/>
      <c r="J43" s="247"/>
      <c r="K43" s="247"/>
      <c r="L43" s="247"/>
      <c r="M43" s="247"/>
      <c r="N43" s="248"/>
      <c r="O43" s="124" t="s">
        <v>57</v>
      </c>
      <c r="P43" s="119">
        <f>IF('Other Deduction'!E3&lt;10001,'Other Deduction'!E3,10000)</f>
        <v>0</v>
      </c>
    </row>
    <row r="44" spans="1:16" s="112" customFormat="1" ht="15.75" customHeight="1">
      <c r="A44" s="202"/>
      <c r="B44" s="246" t="s">
        <v>133</v>
      </c>
      <c r="C44" s="247"/>
      <c r="D44" s="247"/>
      <c r="E44" s="247"/>
      <c r="F44" s="247"/>
      <c r="G44" s="247"/>
      <c r="H44" s="247"/>
      <c r="I44" s="247"/>
      <c r="J44" s="247"/>
      <c r="K44" s="247"/>
      <c r="L44" s="247"/>
      <c r="M44" s="247"/>
      <c r="N44" s="248"/>
      <c r="O44" s="124" t="s">
        <v>57</v>
      </c>
      <c r="P44" s="119">
        <f>'Other Deduction'!E14</f>
        <v>0</v>
      </c>
    </row>
    <row r="45" spans="1:16" s="112" customFormat="1" ht="15.75" customHeight="1">
      <c r="A45" s="202"/>
      <c r="B45" s="246" t="s">
        <v>193</v>
      </c>
      <c r="C45" s="247"/>
      <c r="D45" s="247"/>
      <c r="E45" s="247"/>
      <c r="F45" s="247"/>
      <c r="G45" s="247"/>
      <c r="H45" s="247"/>
      <c r="I45" s="247"/>
      <c r="J45" s="247"/>
      <c r="K45" s="247"/>
      <c r="L45" s="247"/>
      <c r="M45" s="247"/>
      <c r="N45" s="248"/>
      <c r="O45" s="124" t="s">
        <v>57</v>
      </c>
      <c r="P45" s="119">
        <f>'Other Deduction'!E19</f>
        <v>0</v>
      </c>
    </row>
    <row r="46" spans="1:16" s="112" customFormat="1" ht="15" customHeight="1">
      <c r="A46" s="203"/>
      <c r="B46" s="239" t="s">
        <v>212</v>
      </c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124" t="s">
        <v>57</v>
      </c>
      <c r="P46" s="129">
        <f>SUM(P37:P45)</f>
        <v>0</v>
      </c>
    </row>
    <row r="47" spans="1:16" s="112" customFormat="1" ht="15" customHeight="1">
      <c r="A47" s="116">
        <v>13</v>
      </c>
      <c r="B47" s="296" t="s">
        <v>89</v>
      </c>
      <c r="C47" s="296"/>
      <c r="D47" s="296"/>
      <c r="E47" s="296"/>
      <c r="F47" s="296"/>
      <c r="G47" s="296"/>
      <c r="H47" s="296"/>
      <c r="I47" s="296"/>
      <c r="J47" s="296"/>
      <c r="K47" s="296"/>
      <c r="L47" s="296"/>
      <c r="M47" s="296"/>
      <c r="N47" s="296"/>
      <c r="O47" s="124" t="s">
        <v>57</v>
      </c>
      <c r="P47" s="119">
        <f>P35+P46</f>
        <v>48360</v>
      </c>
    </row>
    <row r="48" spans="1:16" s="112" customFormat="1" ht="15" customHeight="1">
      <c r="A48" s="116">
        <v>14</v>
      </c>
      <c r="B48" s="204" t="s">
        <v>90</v>
      </c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124" t="s">
        <v>57</v>
      </c>
      <c r="P48" s="119">
        <f>(P19-P47)</f>
        <v>1197452</v>
      </c>
    </row>
    <row r="49" spans="1:16" s="112" customFormat="1">
      <c r="A49" s="116">
        <v>15</v>
      </c>
      <c r="B49" s="296" t="s">
        <v>91</v>
      </c>
      <c r="C49" s="296"/>
      <c r="D49" s="296"/>
      <c r="E49" s="296"/>
      <c r="F49" s="296"/>
      <c r="G49" s="296"/>
      <c r="H49" s="296"/>
      <c r="I49" s="296"/>
      <c r="J49" s="296"/>
      <c r="K49" s="296"/>
      <c r="L49" s="296"/>
      <c r="M49" s="296"/>
      <c r="N49" s="296"/>
      <c r="O49" s="124" t="s">
        <v>57</v>
      </c>
      <c r="P49" s="118">
        <f>ROUND(P48,-1)</f>
        <v>1197450</v>
      </c>
    </row>
    <row r="50" spans="1:16" s="112" customFormat="1" ht="15" customHeight="1">
      <c r="A50" s="201">
        <v>16</v>
      </c>
      <c r="B50" s="204" t="s">
        <v>92</v>
      </c>
      <c r="C50" s="204"/>
      <c r="D50" s="204"/>
      <c r="E50" s="204"/>
      <c r="F50" s="204"/>
      <c r="G50" s="204"/>
      <c r="H50" s="204"/>
      <c r="I50" s="204"/>
      <c r="J50" s="204"/>
      <c r="K50" s="204"/>
      <c r="L50" s="204"/>
      <c r="M50" s="204"/>
      <c r="N50" s="204"/>
      <c r="O50" s="204"/>
      <c r="P50" s="205"/>
    </row>
    <row r="51" spans="1:16" s="112" customFormat="1" ht="15" customHeight="1">
      <c r="A51" s="202"/>
      <c r="B51" s="206" t="s">
        <v>94</v>
      </c>
      <c r="C51" s="206"/>
      <c r="D51" s="206"/>
      <c r="E51" s="206"/>
      <c r="F51" s="206"/>
      <c r="G51" s="206" t="s">
        <v>93</v>
      </c>
      <c r="H51" s="206"/>
      <c r="I51" s="206"/>
      <c r="J51" s="206"/>
      <c r="K51" s="207" t="s">
        <v>95</v>
      </c>
      <c r="L51" s="208"/>
      <c r="M51" s="208"/>
      <c r="N51" s="209"/>
      <c r="O51" s="130"/>
      <c r="P51" s="131"/>
    </row>
    <row r="52" spans="1:16" s="112" customFormat="1" ht="15" customHeight="1">
      <c r="A52" s="202"/>
      <c r="B52" s="210" t="s">
        <v>96</v>
      </c>
      <c r="C52" s="211"/>
      <c r="D52" s="212"/>
      <c r="E52" s="214" t="s">
        <v>19</v>
      </c>
      <c r="F52" s="214"/>
      <c r="G52" s="210" t="s">
        <v>98</v>
      </c>
      <c r="H52" s="211"/>
      <c r="I52" s="212"/>
      <c r="J52" s="132" t="s">
        <v>19</v>
      </c>
      <c r="K52" s="210"/>
      <c r="L52" s="211"/>
      <c r="M52" s="212"/>
      <c r="N52" s="132"/>
      <c r="O52" s="124" t="s">
        <v>57</v>
      </c>
      <c r="P52" s="133">
        <v>0</v>
      </c>
    </row>
    <row r="53" spans="1:16" s="112" customFormat="1" ht="15" customHeight="1">
      <c r="A53" s="202"/>
      <c r="B53" s="210" t="s">
        <v>20</v>
      </c>
      <c r="C53" s="211"/>
      <c r="D53" s="212"/>
      <c r="E53" s="213">
        <v>0.05</v>
      </c>
      <c r="F53" s="214"/>
      <c r="G53" s="214" t="s">
        <v>34</v>
      </c>
      <c r="H53" s="214"/>
      <c r="I53" s="214"/>
      <c r="J53" s="134">
        <v>0.05</v>
      </c>
      <c r="K53" s="210" t="s">
        <v>97</v>
      </c>
      <c r="L53" s="211"/>
      <c r="M53" s="212"/>
      <c r="N53" s="132" t="s">
        <v>19</v>
      </c>
      <c r="O53" s="124" t="s">
        <v>57</v>
      </c>
      <c r="P53" s="133">
        <f>ROUND(IF(P49&lt;250001,0,IF(P49&gt;500000,12500,((P49-250000)*0.05))),0)</f>
        <v>12500</v>
      </c>
    </row>
    <row r="54" spans="1:16" s="112" customFormat="1" ht="15" customHeight="1">
      <c r="A54" s="202"/>
      <c r="B54" s="210" t="s">
        <v>21</v>
      </c>
      <c r="C54" s="211"/>
      <c r="D54" s="212"/>
      <c r="E54" s="213">
        <v>0.2</v>
      </c>
      <c r="F54" s="214"/>
      <c r="G54" s="214" t="s">
        <v>21</v>
      </c>
      <c r="H54" s="214"/>
      <c r="I54" s="214"/>
      <c r="J54" s="134">
        <v>0.2</v>
      </c>
      <c r="K54" s="210" t="s">
        <v>21</v>
      </c>
      <c r="L54" s="211"/>
      <c r="M54" s="212"/>
      <c r="N54" s="134">
        <v>0.2</v>
      </c>
      <c r="O54" s="124" t="s">
        <v>57</v>
      </c>
      <c r="P54" s="133">
        <f>IF(P49&lt;500001,0,IF(P49&gt;1000000,100000,((P49-500000)*0.2)))</f>
        <v>100000</v>
      </c>
    </row>
    <row r="55" spans="1:16" s="112" customFormat="1" ht="15" customHeight="1">
      <c r="A55" s="202"/>
      <c r="B55" s="210" t="s">
        <v>99</v>
      </c>
      <c r="C55" s="211"/>
      <c r="D55" s="212"/>
      <c r="E55" s="213">
        <v>0.3</v>
      </c>
      <c r="F55" s="214"/>
      <c r="G55" s="214" t="s">
        <v>100</v>
      </c>
      <c r="H55" s="214"/>
      <c r="I55" s="214"/>
      <c r="J55" s="134">
        <v>0.3</v>
      </c>
      <c r="K55" s="210" t="s">
        <v>100</v>
      </c>
      <c r="L55" s="211"/>
      <c r="M55" s="212"/>
      <c r="N55" s="134">
        <v>0.3</v>
      </c>
      <c r="O55" s="124" t="s">
        <v>57</v>
      </c>
      <c r="P55" s="133">
        <f>IF(P49&lt;1000001,0,((P49-1000000)*0.3))</f>
        <v>59235</v>
      </c>
    </row>
    <row r="56" spans="1:16" s="112" customFormat="1" ht="15" customHeight="1">
      <c r="A56" s="202"/>
      <c r="B56" s="194" t="s">
        <v>101</v>
      </c>
      <c r="C56" s="195"/>
      <c r="D56" s="195"/>
      <c r="E56" s="195"/>
      <c r="F56" s="195"/>
      <c r="G56" s="195"/>
      <c r="H56" s="195"/>
      <c r="I56" s="195"/>
      <c r="J56" s="195"/>
      <c r="K56" s="195"/>
      <c r="L56" s="195"/>
      <c r="M56" s="195"/>
      <c r="N56" s="196"/>
      <c r="O56" s="124" t="s">
        <v>57</v>
      </c>
      <c r="P56" s="118">
        <f>SUM(P52:P55)</f>
        <v>171735</v>
      </c>
    </row>
    <row r="57" spans="1:16" s="112" customFormat="1" ht="15" customHeight="1">
      <c r="A57" s="202"/>
      <c r="B57" s="215" t="s">
        <v>102</v>
      </c>
      <c r="C57" s="216"/>
      <c r="D57" s="216"/>
      <c r="E57" s="216"/>
      <c r="F57" s="216"/>
      <c r="G57" s="216"/>
      <c r="H57" s="216"/>
      <c r="I57" s="216"/>
      <c r="J57" s="216"/>
      <c r="K57" s="216"/>
      <c r="L57" s="216"/>
      <c r="M57" s="216"/>
      <c r="N57" s="217"/>
      <c r="O57" s="124" t="s">
        <v>57</v>
      </c>
      <c r="P57" s="119">
        <f>IF(P49&gt;500000,0,IF(P56&lt;12501,P56,12500))</f>
        <v>0</v>
      </c>
    </row>
    <row r="58" spans="1:16" s="112" customFormat="1" ht="15" customHeight="1">
      <c r="A58" s="202"/>
      <c r="B58" s="215" t="s">
        <v>103</v>
      </c>
      <c r="C58" s="216"/>
      <c r="D58" s="216"/>
      <c r="E58" s="216"/>
      <c r="F58" s="216"/>
      <c r="G58" s="216"/>
      <c r="H58" s="216"/>
      <c r="I58" s="216"/>
      <c r="J58" s="216"/>
      <c r="K58" s="216"/>
      <c r="L58" s="216"/>
      <c r="M58" s="216"/>
      <c r="N58" s="217"/>
      <c r="O58" s="124" t="s">
        <v>57</v>
      </c>
      <c r="P58" s="118">
        <f>P56-P57</f>
        <v>171735</v>
      </c>
    </row>
    <row r="59" spans="1:16" s="112" customFormat="1" ht="15" customHeight="1">
      <c r="A59" s="202"/>
      <c r="B59" s="197" t="s">
        <v>104</v>
      </c>
      <c r="C59" s="197"/>
      <c r="D59" s="19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24" t="s">
        <v>57</v>
      </c>
      <c r="P59" s="119">
        <f>ROUND(P58*0.04,0)</f>
        <v>6869</v>
      </c>
    </row>
    <row r="60" spans="1:16" s="112" customFormat="1" ht="15" customHeight="1">
      <c r="A60" s="203"/>
      <c r="B60" s="198" t="s">
        <v>105</v>
      </c>
      <c r="C60" s="199"/>
      <c r="D60" s="199"/>
      <c r="E60" s="199"/>
      <c r="F60" s="199"/>
      <c r="G60" s="199"/>
      <c r="H60" s="199"/>
      <c r="I60" s="199"/>
      <c r="J60" s="199"/>
      <c r="K60" s="199"/>
      <c r="L60" s="199"/>
      <c r="M60" s="199"/>
      <c r="N60" s="200"/>
      <c r="O60" s="124" t="s">
        <v>57</v>
      </c>
      <c r="P60" s="118">
        <f>SUM(P58:P59)</f>
        <v>178604</v>
      </c>
    </row>
    <row r="61" spans="1:16" s="112" customFormat="1" ht="15" customHeight="1">
      <c r="A61" s="116">
        <v>17</v>
      </c>
      <c r="B61" s="226" t="s">
        <v>106</v>
      </c>
      <c r="C61" s="227"/>
      <c r="D61" s="227"/>
      <c r="E61" s="227"/>
      <c r="F61" s="227"/>
      <c r="G61" s="227"/>
      <c r="H61" s="227"/>
      <c r="I61" s="227"/>
      <c r="J61" s="227"/>
      <c r="K61" s="227"/>
      <c r="L61" s="227"/>
      <c r="M61" s="227"/>
      <c r="N61" s="228"/>
      <c r="O61" s="124" t="s">
        <v>57</v>
      </c>
      <c r="P61" s="119">
        <f>'Other Deduction'!E17</f>
        <v>0</v>
      </c>
    </row>
    <row r="62" spans="1:16" s="112" customFormat="1" ht="15" customHeight="1">
      <c r="A62" s="116">
        <v>18</v>
      </c>
      <c r="B62" s="204" t="s">
        <v>107</v>
      </c>
      <c r="C62" s="204"/>
      <c r="D62" s="204"/>
      <c r="E62" s="204"/>
      <c r="F62" s="204"/>
      <c r="G62" s="204"/>
      <c r="H62" s="204"/>
      <c r="I62" s="204"/>
      <c r="J62" s="204"/>
      <c r="K62" s="204"/>
      <c r="L62" s="204"/>
      <c r="M62" s="204"/>
      <c r="N62" s="204"/>
      <c r="O62" s="124" t="s">
        <v>57</v>
      </c>
      <c r="P62" s="118">
        <f>P60-P61</f>
        <v>178604</v>
      </c>
    </row>
    <row r="63" spans="1:16" ht="46.5" customHeight="1">
      <c r="A63" s="201">
        <v>19</v>
      </c>
      <c r="B63" s="232" t="s">
        <v>108</v>
      </c>
      <c r="C63" s="233"/>
      <c r="D63" s="234"/>
      <c r="E63" s="229" t="s">
        <v>219</v>
      </c>
      <c r="F63" s="229"/>
      <c r="G63" s="229"/>
      <c r="H63" s="229"/>
      <c r="I63" s="230" t="s">
        <v>220</v>
      </c>
      <c r="J63" s="231"/>
      <c r="K63" s="135" t="s">
        <v>226</v>
      </c>
      <c r="L63" s="230" t="s">
        <v>227</v>
      </c>
      <c r="M63" s="231"/>
      <c r="N63" s="135" t="s">
        <v>109</v>
      </c>
      <c r="O63" s="219" t="s">
        <v>110</v>
      </c>
      <c r="P63" s="220"/>
    </row>
    <row r="64" spans="1:16">
      <c r="A64" s="203"/>
      <c r="B64" s="235"/>
      <c r="C64" s="236"/>
      <c r="D64" s="237"/>
      <c r="E64" s="221">
        <f>SUM('Salary Seet'!X72:X78)</f>
        <v>7000</v>
      </c>
      <c r="F64" s="221"/>
      <c r="G64" s="221"/>
      <c r="H64" s="221"/>
      <c r="I64" s="221">
        <f>SUM('Salary Seet'!X79:X81)</f>
        <v>3000</v>
      </c>
      <c r="J64" s="221"/>
      <c r="K64" s="137">
        <f>'Salary Seet'!X82</f>
        <v>1000</v>
      </c>
      <c r="L64" s="221">
        <f>'Salary Seet'!X83</f>
        <v>1000</v>
      </c>
      <c r="M64" s="221"/>
      <c r="N64" s="138">
        <f>SUM('Salary Seet'!X84:X91)+'Other Deduction'!E18</f>
        <v>0</v>
      </c>
      <c r="O64" s="222">
        <f>E64+I64+K64+L64+N64</f>
        <v>12000</v>
      </c>
      <c r="P64" s="223"/>
    </row>
    <row r="65" spans="1:17" ht="16.5" thickBot="1">
      <c r="A65" s="224" t="str">
        <f>IF(P62&gt;O64,"Income Tax Payable",IF(P62&lt;O64,"Income Tax Refundable","Income Tax Payble/Refundable"))</f>
        <v>Income Tax Payable</v>
      </c>
      <c r="B65" s="225"/>
      <c r="C65" s="225"/>
      <c r="D65" s="225"/>
      <c r="E65" s="225"/>
      <c r="F65" s="225"/>
      <c r="G65" s="225"/>
      <c r="H65" s="225"/>
      <c r="I65" s="225"/>
      <c r="J65" s="225"/>
      <c r="K65" s="225"/>
      <c r="L65" s="225"/>
      <c r="M65" s="225"/>
      <c r="N65" s="225"/>
      <c r="O65" s="124" t="s">
        <v>57</v>
      </c>
      <c r="P65" s="139">
        <f>IF(P62&gt;O64,P62-O64,O64-P62)</f>
        <v>166604</v>
      </c>
    </row>
    <row r="66" spans="1:17">
      <c r="A66" s="140"/>
      <c r="B66" s="140"/>
      <c r="C66" s="140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40"/>
      <c r="O66" s="141"/>
      <c r="P66" s="142"/>
    </row>
    <row r="67" spans="1:17">
      <c r="A67" s="143"/>
      <c r="B67" s="301" t="s">
        <v>111</v>
      </c>
      <c r="C67" s="301"/>
      <c r="D67" s="301"/>
      <c r="E67" s="301"/>
      <c r="F67" s="144"/>
      <c r="G67" s="144"/>
      <c r="H67" s="144"/>
      <c r="I67" s="144"/>
      <c r="J67" s="144"/>
      <c r="K67" s="144"/>
      <c r="L67" s="301" t="s">
        <v>24</v>
      </c>
      <c r="M67" s="301"/>
      <c r="N67" s="301"/>
      <c r="O67" s="301"/>
      <c r="P67" s="145"/>
    </row>
    <row r="68" spans="1:17">
      <c r="A68" s="301"/>
      <c r="B68" s="301"/>
      <c r="C68" s="301"/>
      <c r="D68" s="301"/>
      <c r="E68" s="144"/>
      <c r="F68" s="144"/>
      <c r="G68" s="144"/>
      <c r="H68" s="144"/>
      <c r="I68" s="144"/>
      <c r="J68" s="144"/>
      <c r="K68" s="144"/>
      <c r="L68" s="144"/>
      <c r="M68" s="301"/>
      <c r="N68" s="301"/>
      <c r="O68" s="301"/>
      <c r="P68" s="301"/>
    </row>
    <row r="69" spans="1:17" ht="15.75" hidden="1" customHeight="1">
      <c r="A69" s="143"/>
      <c r="B69" s="218"/>
      <c r="C69" s="218"/>
      <c r="D69" s="218"/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8"/>
    </row>
    <row r="70" spans="1:17" ht="15.75" hidden="1" customHeight="1">
      <c r="A70" s="143"/>
      <c r="B70" s="218"/>
      <c r="C70" s="218"/>
      <c r="D70" s="218"/>
      <c r="E70" s="218"/>
      <c r="F70" s="218"/>
      <c r="G70" s="218"/>
      <c r="H70" s="218"/>
      <c r="I70" s="218"/>
      <c r="J70" s="218"/>
      <c r="K70" s="218"/>
      <c r="L70" s="218"/>
      <c r="M70" s="218"/>
      <c r="N70" s="218"/>
      <c r="O70" s="218"/>
      <c r="P70" s="218"/>
    </row>
    <row r="71" spans="1:17" ht="24" hidden="1" customHeight="1">
      <c r="A71" s="143"/>
      <c r="B71" s="218"/>
      <c r="C71" s="218"/>
      <c r="D71" s="218"/>
      <c r="E71" s="218"/>
      <c r="F71" s="218"/>
      <c r="G71" s="218"/>
      <c r="H71" s="218"/>
      <c r="I71" s="218"/>
      <c r="J71" s="218"/>
      <c r="K71" s="218"/>
      <c r="L71" s="218"/>
      <c r="M71" s="218"/>
      <c r="N71" s="218"/>
      <c r="O71" s="218"/>
      <c r="P71" s="218"/>
    </row>
    <row r="72" spans="1:17" ht="15.75" hidden="1" customHeight="1">
      <c r="A72" s="143"/>
      <c r="B72" s="144"/>
      <c r="C72" s="144"/>
      <c r="D72" s="144"/>
      <c r="E72" s="144"/>
      <c r="F72" s="144"/>
      <c r="G72" s="144"/>
      <c r="H72" s="144"/>
      <c r="I72" s="144"/>
      <c r="J72" s="144"/>
      <c r="K72" s="193"/>
      <c r="L72" s="193"/>
      <c r="M72" s="193"/>
      <c r="N72" s="193"/>
      <c r="O72" s="193"/>
      <c r="P72" s="193"/>
    </row>
    <row r="73" spans="1:17" ht="15.75" hidden="1" customHeight="1">
      <c r="A73" s="143"/>
      <c r="B73" s="144"/>
      <c r="C73" s="144"/>
      <c r="D73" s="144"/>
      <c r="E73" s="144"/>
      <c r="F73" s="144"/>
      <c r="G73" s="144"/>
      <c r="H73" s="144"/>
      <c r="I73" s="144"/>
      <c r="J73" s="144"/>
      <c r="K73" s="193"/>
      <c r="L73" s="193"/>
      <c r="M73" s="193"/>
      <c r="N73" s="193"/>
      <c r="O73" s="193"/>
      <c r="P73" s="193"/>
    </row>
    <row r="74" spans="1:17" ht="15.75" hidden="1" customHeight="1">
      <c r="A74" s="143"/>
      <c r="B74" s="144"/>
      <c r="C74" s="144"/>
      <c r="D74" s="144"/>
      <c r="E74" s="144"/>
      <c r="F74" s="144"/>
      <c r="G74" s="144"/>
      <c r="H74" s="144"/>
      <c r="I74" s="144"/>
      <c r="J74" s="144"/>
      <c r="K74" s="193"/>
      <c r="L74" s="193"/>
      <c r="M74" s="193"/>
      <c r="N74" s="193"/>
      <c r="O74" s="193"/>
      <c r="P74" s="193"/>
    </row>
    <row r="75" spans="1:17" ht="15.75" hidden="1" customHeight="1">
      <c r="A75" s="143"/>
      <c r="B75" s="144"/>
      <c r="C75" s="144"/>
      <c r="D75" s="144"/>
      <c r="E75" s="144"/>
      <c r="F75" s="144"/>
      <c r="G75" s="144"/>
      <c r="H75" s="144"/>
      <c r="I75" s="144"/>
      <c r="J75" s="144"/>
      <c r="K75" s="193"/>
      <c r="L75" s="193"/>
      <c r="M75" s="193"/>
      <c r="N75" s="193"/>
      <c r="O75" s="193"/>
      <c r="P75" s="193"/>
    </row>
    <row r="76" spans="1:17" ht="15.75" hidden="1" customHeight="1">
      <c r="A76" s="143"/>
      <c r="B76" s="144"/>
      <c r="C76" s="144"/>
      <c r="D76" s="144"/>
      <c r="E76" s="144"/>
      <c r="F76" s="144"/>
      <c r="G76" s="144"/>
      <c r="H76" s="144"/>
      <c r="I76" s="144"/>
      <c r="J76" s="144"/>
      <c r="K76" s="193"/>
      <c r="L76" s="193"/>
      <c r="M76" s="193"/>
      <c r="N76" s="193"/>
      <c r="O76" s="193"/>
      <c r="P76" s="193"/>
    </row>
    <row r="77" spans="1:17" hidden="1">
      <c r="A77" s="143"/>
      <c r="B77" s="144"/>
      <c r="C77" s="287"/>
      <c r="D77" s="287"/>
      <c r="E77" s="287"/>
      <c r="F77" s="287"/>
      <c r="G77" s="287"/>
      <c r="H77" s="287"/>
      <c r="I77" s="287"/>
      <c r="J77" s="144"/>
      <c r="K77" s="193"/>
      <c r="L77" s="193"/>
      <c r="M77" s="193"/>
      <c r="N77" s="193"/>
      <c r="O77" s="193"/>
      <c r="P77" s="193"/>
    </row>
    <row r="78" spans="1:17" hidden="1">
      <c r="A78" s="143"/>
      <c r="B78" s="144"/>
      <c r="C78" s="144"/>
      <c r="D78" s="144"/>
      <c r="E78" s="144"/>
      <c r="F78" s="144"/>
      <c r="G78" s="144"/>
      <c r="H78" s="144"/>
      <c r="I78" s="144"/>
      <c r="J78" s="144"/>
      <c r="K78" s="193"/>
      <c r="L78" s="193"/>
      <c r="M78" s="193"/>
      <c r="N78" s="193"/>
      <c r="O78" s="193"/>
      <c r="P78" s="193"/>
    </row>
    <row r="79" spans="1:17" hidden="1">
      <c r="A79" s="146"/>
      <c r="B79" s="147"/>
      <c r="C79" s="147"/>
      <c r="D79" s="147"/>
      <c r="E79" s="147"/>
      <c r="F79" s="147"/>
      <c r="G79" s="147"/>
      <c r="H79" s="147"/>
      <c r="I79" s="147"/>
      <c r="J79" s="147"/>
      <c r="K79" s="147"/>
      <c r="L79" s="147"/>
      <c r="M79" s="147"/>
      <c r="N79" s="147"/>
      <c r="O79" s="148"/>
      <c r="P79" s="149"/>
      <c r="Q79" s="150"/>
    </row>
    <row r="80" spans="1:17" hidden="1">
      <c r="A80" s="146"/>
      <c r="B80" s="147"/>
      <c r="C80" s="147"/>
      <c r="D80" s="147"/>
      <c r="E80" s="147"/>
      <c r="F80" s="147"/>
      <c r="G80" s="147"/>
      <c r="H80" s="147"/>
      <c r="I80" s="147"/>
      <c r="J80" s="147"/>
      <c r="K80" s="147"/>
      <c r="L80" s="147"/>
      <c r="M80" s="147"/>
      <c r="N80" s="147"/>
      <c r="O80" s="148"/>
      <c r="P80" s="149"/>
      <c r="Q80" s="150"/>
    </row>
    <row r="81" spans="1:17" hidden="1">
      <c r="A81" s="146"/>
      <c r="B81" s="147"/>
      <c r="C81" s="147"/>
      <c r="D81" s="147"/>
      <c r="E81" s="147"/>
      <c r="F81" s="147"/>
      <c r="G81" s="147"/>
      <c r="H81" s="147"/>
      <c r="I81" s="147"/>
      <c r="J81" s="147"/>
      <c r="K81" s="147"/>
      <c r="L81" s="147"/>
      <c r="M81" s="147"/>
      <c r="N81" s="147"/>
      <c r="O81" s="148"/>
      <c r="P81" s="149"/>
      <c r="Q81" s="150"/>
    </row>
    <row r="82" spans="1:17" hidden="1">
      <c r="A82" s="143"/>
      <c r="B82" s="144"/>
      <c r="C82" s="144"/>
      <c r="D82" s="144"/>
      <c r="E82" s="144"/>
      <c r="F82" s="144"/>
      <c r="G82" s="144"/>
      <c r="H82" s="144"/>
      <c r="I82" s="144"/>
      <c r="J82" s="144"/>
      <c r="K82" s="144"/>
      <c r="L82" s="144"/>
      <c r="M82" s="144"/>
      <c r="N82" s="144"/>
      <c r="O82" s="151"/>
      <c r="P82" s="145"/>
    </row>
    <row r="83" spans="1:17" hidden="1">
      <c r="A83" s="143"/>
      <c r="B83" s="144"/>
      <c r="C83" s="144"/>
      <c r="D83" s="144"/>
      <c r="E83" s="144"/>
      <c r="F83" s="144"/>
      <c r="G83" s="144"/>
      <c r="H83" s="144"/>
      <c r="I83" s="144"/>
      <c r="J83" s="144"/>
      <c r="K83" s="144"/>
      <c r="L83" s="144"/>
      <c r="M83" s="144"/>
      <c r="N83" s="144"/>
      <c r="O83" s="151"/>
      <c r="P83" s="145"/>
    </row>
    <row r="84" spans="1:17" hidden="1">
      <c r="A84" s="143"/>
      <c r="B84" s="144"/>
      <c r="C84" s="144"/>
      <c r="D84" s="144"/>
      <c r="E84" s="144"/>
      <c r="F84" s="144"/>
      <c r="G84" s="144"/>
      <c r="H84" s="144"/>
      <c r="I84" s="144"/>
      <c r="J84" s="144"/>
      <c r="K84" s="144"/>
      <c r="L84" s="144"/>
      <c r="M84" s="144"/>
      <c r="N84" s="144"/>
      <c r="O84" s="151"/>
      <c r="P84" s="145"/>
    </row>
  </sheetData>
  <sheetProtection algorithmName="SHA-512" hashValue="WpqeJrWcEsChRElr77op0T4WwITO0cWOBKJueUDUPiwe1Tt8bfKzE1cTPNcO7d5dnSrCMO7vrWwgopGAvjvYzQ==" saltValue="wZQnWG4mUpvpIdbtXAgEsw==" spinCount="100000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7">
    <mergeCell ref="M68:P68"/>
    <mergeCell ref="B34:N34"/>
    <mergeCell ref="B33:N33"/>
    <mergeCell ref="B35:N35"/>
    <mergeCell ref="B67:E67"/>
    <mergeCell ref="L67:O67"/>
    <mergeCell ref="J28:L28"/>
    <mergeCell ref="A13:A15"/>
    <mergeCell ref="B13:I13"/>
    <mergeCell ref="J13:K13"/>
    <mergeCell ref="D15:F15"/>
    <mergeCell ref="D14:F14"/>
    <mergeCell ref="B14:C15"/>
    <mergeCell ref="A20:A32"/>
    <mergeCell ref="A68:D68"/>
    <mergeCell ref="C26:F26"/>
    <mergeCell ref="C27:F27"/>
    <mergeCell ref="J27:L27"/>
    <mergeCell ref="B48:N48"/>
    <mergeCell ref="J23:L23"/>
    <mergeCell ref="J26:L26"/>
    <mergeCell ref="B49:N49"/>
    <mergeCell ref="E52:F52"/>
    <mergeCell ref="G52:I52"/>
    <mergeCell ref="C77:I77"/>
    <mergeCell ref="L13:N13"/>
    <mergeCell ref="O13:P15"/>
    <mergeCell ref="G14:I14"/>
    <mergeCell ref="J14:K14"/>
    <mergeCell ref="B16:N16"/>
    <mergeCell ref="B17:N17"/>
    <mergeCell ref="B18:N18"/>
    <mergeCell ref="B19:N19"/>
    <mergeCell ref="C28:F28"/>
    <mergeCell ref="L14:N14"/>
    <mergeCell ref="G15:I15"/>
    <mergeCell ref="J15:K15"/>
    <mergeCell ref="L15:N15"/>
    <mergeCell ref="C29:F29"/>
    <mergeCell ref="J29:L29"/>
    <mergeCell ref="B47:N47"/>
    <mergeCell ref="E53:F53"/>
    <mergeCell ref="B20:P20"/>
    <mergeCell ref="B21:P21"/>
    <mergeCell ref="C22:F22"/>
    <mergeCell ref="C23:F23"/>
    <mergeCell ref="B31:L31"/>
    <mergeCell ref="J30:L30"/>
    <mergeCell ref="A1:P1"/>
    <mergeCell ref="A2:P2"/>
    <mergeCell ref="B3:C3"/>
    <mergeCell ref="O3:P3"/>
    <mergeCell ref="B4:N4"/>
    <mergeCell ref="B5:N5"/>
    <mergeCell ref="B7:N7"/>
    <mergeCell ref="B12:N12"/>
    <mergeCell ref="B8:K8"/>
    <mergeCell ref="L8:N8"/>
    <mergeCell ref="B11:K11"/>
    <mergeCell ref="L11:N11"/>
    <mergeCell ref="D3:I3"/>
    <mergeCell ref="K3:M3"/>
    <mergeCell ref="A8:A11"/>
    <mergeCell ref="L9:N9"/>
    <mergeCell ref="B9:K9"/>
    <mergeCell ref="B10:K10"/>
    <mergeCell ref="L10:N10"/>
    <mergeCell ref="O8:P10"/>
    <mergeCell ref="B6:N6"/>
    <mergeCell ref="K52:M52"/>
    <mergeCell ref="C30:F30"/>
    <mergeCell ref="B32:N32"/>
    <mergeCell ref="J22:L22"/>
    <mergeCell ref="A36:A46"/>
    <mergeCell ref="B36:P36"/>
    <mergeCell ref="B37:N37"/>
    <mergeCell ref="B38:N38"/>
    <mergeCell ref="B39:N39"/>
    <mergeCell ref="B40:N40"/>
    <mergeCell ref="B41:N41"/>
    <mergeCell ref="B42:N42"/>
    <mergeCell ref="B46:N46"/>
    <mergeCell ref="B43:N43"/>
    <mergeCell ref="B44:N44"/>
    <mergeCell ref="O22:P31"/>
    <mergeCell ref="C24:F24"/>
    <mergeCell ref="J24:L24"/>
    <mergeCell ref="C25:F25"/>
    <mergeCell ref="J25:L25"/>
    <mergeCell ref="B45:N45"/>
    <mergeCell ref="E55:F55"/>
    <mergeCell ref="G55:I55"/>
    <mergeCell ref="K55:M55"/>
    <mergeCell ref="L64:M64"/>
    <mergeCell ref="O64:P64"/>
    <mergeCell ref="A65:N65"/>
    <mergeCell ref="B61:N61"/>
    <mergeCell ref="B62:N62"/>
    <mergeCell ref="E63:H63"/>
    <mergeCell ref="I63:J63"/>
    <mergeCell ref="L63:M63"/>
    <mergeCell ref="B63:D64"/>
    <mergeCell ref="A63:A64"/>
    <mergeCell ref="K72:P78"/>
    <mergeCell ref="B56:N56"/>
    <mergeCell ref="B59:N59"/>
    <mergeCell ref="B60:N60"/>
    <mergeCell ref="A50:A60"/>
    <mergeCell ref="B50:P50"/>
    <mergeCell ref="B51:F51"/>
    <mergeCell ref="G51:J51"/>
    <mergeCell ref="K51:N51"/>
    <mergeCell ref="B54:D54"/>
    <mergeCell ref="B55:D55"/>
    <mergeCell ref="B52:D52"/>
    <mergeCell ref="B53:D53"/>
    <mergeCell ref="E54:F54"/>
    <mergeCell ref="G54:I54"/>
    <mergeCell ref="K54:M54"/>
    <mergeCell ref="G53:I53"/>
    <mergeCell ref="K53:M53"/>
    <mergeCell ref="B57:N57"/>
    <mergeCell ref="B58:N58"/>
    <mergeCell ref="B69:P71"/>
    <mergeCell ref="O63:P63"/>
    <mergeCell ref="E64:H64"/>
    <mergeCell ref="I64:J64"/>
  </mergeCells>
  <printOptions horizontalCentered="1"/>
  <pageMargins left="0.39370078740157499" right="0.23622047244094499" top="0.23622047244094499" bottom="0.27559055118110198" header="0.196850393700787" footer="0.23622047244094499"/>
  <pageSetup paperSize="9" scale="74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V87"/>
  <sheetViews>
    <sheetView showGridLines="0" workbookViewId="0">
      <selection activeCell="O12" sqref="O12:P14"/>
    </sheetView>
  </sheetViews>
  <sheetFormatPr defaultColWidth="0" defaultRowHeight="0" customHeight="1" zeroHeight="1"/>
  <cols>
    <col min="1" max="1" width="4.5703125" style="7" customWidth="1" collapsed="1"/>
    <col min="2" max="2" width="4.5703125" style="6" customWidth="1" collapsed="1"/>
    <col min="3" max="4" width="9.140625" style="6" customWidth="1" collapsed="1"/>
    <col min="5" max="5" width="3.85546875" style="6" customWidth="1" collapsed="1"/>
    <col min="6" max="6" width="5.42578125" style="6" customWidth="1" collapsed="1"/>
    <col min="7" max="7" width="4.5703125" style="6" customWidth="1" collapsed="1"/>
    <col min="8" max="8" width="11.85546875" style="6" customWidth="1" collapsed="1"/>
    <col min="9" max="9" width="5.140625" style="6" customWidth="1" collapsed="1"/>
    <col min="10" max="10" width="11.7109375" style="6" customWidth="1" collapsed="1"/>
    <col min="11" max="11" width="11.42578125" style="6" customWidth="1" collapsed="1"/>
    <col min="12" max="12" width="9.42578125" style="6" customWidth="1" collapsed="1"/>
    <col min="13" max="13" width="4.5703125" style="6" customWidth="1" collapsed="1"/>
    <col min="14" max="14" width="12.7109375" style="6" customWidth="1" collapsed="1"/>
    <col min="15" max="15" width="3.85546875" style="8" customWidth="1" collapsed="1"/>
    <col min="16" max="16" width="19.28515625" style="9" customWidth="1" collapsed="1"/>
    <col min="17" max="17" width="2.42578125" customWidth="1" collapsed="1"/>
    <col min="18" max="18" width="9.140625" hidden="1"/>
    <col min="19" max="19" width="9.140625" hidden="1" collapsed="1"/>
    <col min="20" max="22" width="9.140625" hidden="1"/>
    <col min="23" max="16384" width="9.140625" hidden="1" collapsed="1"/>
  </cols>
  <sheetData>
    <row r="1" spans="1:16" s="10" customFormat="1" ht="18.75">
      <c r="A1" s="260" t="str">
        <f>'Salary Seet'!C66</f>
        <v>Govt Senior Secondary School, Gordhanpura Baran.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</row>
    <row r="2" spans="1:16" s="10" customFormat="1" ht="21.75" thickBot="1">
      <c r="A2" s="261" t="s">
        <v>225</v>
      </c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</row>
    <row r="3" spans="1:16" s="10" customFormat="1" ht="15" customHeight="1">
      <c r="A3" s="113">
        <v>1</v>
      </c>
      <c r="B3" s="262" t="s">
        <v>69</v>
      </c>
      <c r="C3" s="263"/>
      <c r="D3" s="276" t="str">
        <f>'Salary Seet'!$E$68</f>
        <v>PARMANAND MEGHWAL</v>
      </c>
      <c r="E3" s="276"/>
      <c r="F3" s="276"/>
      <c r="G3" s="276"/>
      <c r="H3" s="276"/>
      <c r="I3" s="276"/>
      <c r="J3" s="114" t="s">
        <v>45</v>
      </c>
      <c r="K3" s="277" t="str">
        <f>'Salary Seet'!O68</f>
        <v>PRINCIPAL</v>
      </c>
      <c r="L3" s="277"/>
      <c r="M3" s="277"/>
      <c r="N3" s="115" t="s">
        <v>17</v>
      </c>
      <c r="O3" s="264" t="str">
        <f>'Salary Seet'!AB68</f>
        <v>AAAAAAA</v>
      </c>
      <c r="P3" s="265"/>
    </row>
    <row r="4" spans="1:16" s="10" customFormat="1" ht="15" customHeight="1">
      <c r="A4" s="116">
        <v>2</v>
      </c>
      <c r="B4" s="266" t="s">
        <v>70</v>
      </c>
      <c r="C4" s="266"/>
      <c r="D4" s="204"/>
      <c r="E4" s="204"/>
      <c r="F4" s="204"/>
      <c r="G4" s="204"/>
      <c r="H4" s="204"/>
      <c r="I4" s="204"/>
      <c r="J4" s="266"/>
      <c r="K4" s="204"/>
      <c r="L4" s="204"/>
      <c r="M4" s="204"/>
      <c r="N4" s="266"/>
      <c r="O4" s="117" t="s">
        <v>57</v>
      </c>
      <c r="P4" s="118">
        <f>IF('Salary Seet'!E2="No",'Salary Seet'!O92,('Salary Seet'!O92+'Salary Seet'!P92))</f>
        <v>1323812</v>
      </c>
    </row>
    <row r="5" spans="1:16" s="10" customFormat="1" ht="15" customHeight="1">
      <c r="A5" s="116">
        <v>3</v>
      </c>
      <c r="B5" s="267" t="s">
        <v>71</v>
      </c>
      <c r="C5" s="267"/>
      <c r="D5" s="267"/>
      <c r="E5" s="267"/>
      <c r="F5" s="267"/>
      <c r="G5" s="267"/>
      <c r="H5" s="267"/>
      <c r="I5" s="267"/>
      <c r="J5" s="267"/>
      <c r="K5" s="267"/>
      <c r="L5" s="267"/>
      <c r="M5" s="267"/>
      <c r="N5" s="267"/>
      <c r="O5" s="117" t="s">
        <v>57</v>
      </c>
      <c r="P5" s="119">
        <v>0</v>
      </c>
    </row>
    <row r="6" spans="1:16" s="10" customFormat="1" ht="15" customHeight="1">
      <c r="A6" s="116">
        <v>4</v>
      </c>
      <c r="B6" s="269" t="s">
        <v>154</v>
      </c>
      <c r="C6" s="270"/>
      <c r="D6" s="270"/>
      <c r="E6" s="270"/>
      <c r="F6" s="270"/>
      <c r="G6" s="270"/>
      <c r="H6" s="270"/>
      <c r="I6" s="270"/>
      <c r="J6" s="270"/>
      <c r="K6" s="270"/>
      <c r="L6" s="270"/>
      <c r="M6" s="270"/>
      <c r="N6" s="271"/>
      <c r="O6" s="117" t="s">
        <v>57</v>
      </c>
      <c r="P6" s="119">
        <f>P4-P5</f>
        <v>1323812</v>
      </c>
    </row>
    <row r="7" spans="1:16" s="10" customFormat="1" ht="15" customHeight="1">
      <c r="A7" s="201">
        <v>5</v>
      </c>
      <c r="B7" s="272" t="s">
        <v>78</v>
      </c>
      <c r="C7" s="273"/>
      <c r="D7" s="273"/>
      <c r="E7" s="273"/>
      <c r="F7" s="273"/>
      <c r="G7" s="273"/>
      <c r="H7" s="273"/>
      <c r="I7" s="273"/>
      <c r="J7" s="273"/>
      <c r="K7" s="273"/>
      <c r="L7" s="274">
        <f>'Other Deduction'!B4</f>
        <v>0</v>
      </c>
      <c r="M7" s="274"/>
      <c r="N7" s="274"/>
      <c r="O7" s="249"/>
      <c r="P7" s="281"/>
    </row>
    <row r="8" spans="1:16" s="10" customFormat="1" ht="15" customHeight="1">
      <c r="A8" s="202"/>
      <c r="B8" s="226" t="s">
        <v>79</v>
      </c>
      <c r="C8" s="227"/>
      <c r="D8" s="227"/>
      <c r="E8" s="227"/>
      <c r="F8" s="227"/>
      <c r="G8" s="227"/>
      <c r="H8" s="227"/>
      <c r="I8" s="227"/>
      <c r="J8" s="227"/>
      <c r="K8" s="227"/>
      <c r="L8" s="274">
        <f>'Other Deduction'!B5</f>
        <v>0</v>
      </c>
      <c r="M8" s="274"/>
      <c r="N8" s="274"/>
      <c r="O8" s="251"/>
      <c r="P8" s="282"/>
    </row>
    <row r="9" spans="1:16" s="10" customFormat="1" ht="15" customHeight="1">
      <c r="A9" s="202"/>
      <c r="B9" s="226" t="s">
        <v>151</v>
      </c>
      <c r="C9" s="227"/>
      <c r="D9" s="227"/>
      <c r="E9" s="227"/>
      <c r="F9" s="227"/>
      <c r="G9" s="227"/>
      <c r="H9" s="227"/>
      <c r="I9" s="227"/>
      <c r="J9" s="227"/>
      <c r="K9" s="228"/>
      <c r="L9" s="278">
        <f>'Salary Seet'!U92</f>
        <v>3000</v>
      </c>
      <c r="M9" s="279"/>
      <c r="N9" s="280"/>
      <c r="O9" s="253"/>
      <c r="P9" s="283"/>
    </row>
    <row r="10" spans="1:16" s="10" customFormat="1" ht="15" customHeight="1">
      <c r="A10" s="203"/>
      <c r="B10" s="275" t="s">
        <v>150</v>
      </c>
      <c r="C10" s="273"/>
      <c r="D10" s="273"/>
      <c r="E10" s="273"/>
      <c r="F10" s="273"/>
      <c r="G10" s="273"/>
      <c r="H10" s="273"/>
      <c r="I10" s="273"/>
      <c r="J10" s="273"/>
      <c r="K10" s="273"/>
      <c r="L10" s="274">
        <f>IF(P6&lt;75000,P6,75000)</f>
        <v>75000</v>
      </c>
      <c r="M10" s="274"/>
      <c r="N10" s="274"/>
      <c r="O10" s="117" t="s">
        <v>57</v>
      </c>
      <c r="P10" s="119">
        <f>L10</f>
        <v>75000</v>
      </c>
    </row>
    <row r="11" spans="1:16" s="10" customFormat="1" ht="15" customHeight="1">
      <c r="A11" s="116">
        <v>6</v>
      </c>
      <c r="B11" s="269" t="s">
        <v>72</v>
      </c>
      <c r="C11" s="270"/>
      <c r="D11" s="270"/>
      <c r="E11" s="270"/>
      <c r="F11" s="270"/>
      <c r="G11" s="270"/>
      <c r="H11" s="270"/>
      <c r="I11" s="270"/>
      <c r="J11" s="270"/>
      <c r="K11" s="270"/>
      <c r="L11" s="270"/>
      <c r="M11" s="270"/>
      <c r="N11" s="271"/>
      <c r="O11" s="117" t="s">
        <v>57</v>
      </c>
      <c r="P11" s="119">
        <f>P6-P10-L9</f>
        <v>1245812</v>
      </c>
    </row>
    <row r="12" spans="1:16" s="10" customFormat="1" ht="15" customHeight="1">
      <c r="A12" s="311">
        <v>7</v>
      </c>
      <c r="B12" s="204" t="s">
        <v>73</v>
      </c>
      <c r="C12" s="204"/>
      <c r="D12" s="204"/>
      <c r="E12" s="204"/>
      <c r="F12" s="204"/>
      <c r="G12" s="204"/>
      <c r="H12" s="204"/>
      <c r="I12" s="204"/>
      <c r="J12" s="293" t="s">
        <v>74</v>
      </c>
      <c r="K12" s="293"/>
      <c r="L12" s="274">
        <f>'Other Deduction'!B6</f>
        <v>0</v>
      </c>
      <c r="M12" s="274"/>
      <c r="N12" s="274"/>
      <c r="O12" s="288"/>
      <c r="P12" s="289"/>
    </row>
    <row r="13" spans="1:16" s="10" customFormat="1" ht="27.75" customHeight="1">
      <c r="A13" s="311"/>
      <c r="B13" s="315" t="s">
        <v>76</v>
      </c>
      <c r="C13" s="316"/>
      <c r="D13" s="312" t="s">
        <v>75</v>
      </c>
      <c r="E13" s="313"/>
      <c r="F13" s="314"/>
      <c r="G13" s="290" t="s">
        <v>77</v>
      </c>
      <c r="H13" s="291"/>
      <c r="I13" s="292"/>
      <c r="J13" s="293" t="s">
        <v>80</v>
      </c>
      <c r="K13" s="293"/>
      <c r="L13" s="293" t="s">
        <v>44</v>
      </c>
      <c r="M13" s="293"/>
      <c r="N13" s="293"/>
      <c r="O13" s="288"/>
      <c r="P13" s="289"/>
    </row>
    <row r="14" spans="1:16" s="10" customFormat="1" ht="15" customHeight="1">
      <c r="A14" s="311"/>
      <c r="B14" s="317"/>
      <c r="C14" s="318"/>
      <c r="D14" s="278">
        <f>ROUND(L12*0.3,0)</f>
        <v>0</v>
      </c>
      <c r="E14" s="279"/>
      <c r="F14" s="280"/>
      <c r="G14" s="278">
        <f>IF(('Salary Seet'!W92+'Other Deduction'!B9)&gt;200000,200000,('Salary Seet'!W92+'Other Deduction'!B9))</f>
        <v>0</v>
      </c>
      <c r="H14" s="279"/>
      <c r="I14" s="280"/>
      <c r="J14" s="274">
        <f>'Other Deduction'!B7</f>
        <v>0</v>
      </c>
      <c r="K14" s="274"/>
      <c r="L14" s="274">
        <f>D14+G14+J14</f>
        <v>0</v>
      </c>
      <c r="M14" s="274"/>
      <c r="N14" s="274"/>
      <c r="O14" s="288"/>
      <c r="P14" s="289"/>
    </row>
    <row r="15" spans="1:16" s="10" customFormat="1" ht="15" customHeight="1">
      <c r="A15" s="116"/>
      <c r="B15" s="269" t="s">
        <v>81</v>
      </c>
      <c r="C15" s="270"/>
      <c r="D15" s="270"/>
      <c r="E15" s="270"/>
      <c r="F15" s="270"/>
      <c r="G15" s="270"/>
      <c r="H15" s="270"/>
      <c r="I15" s="270"/>
      <c r="J15" s="270"/>
      <c r="K15" s="270"/>
      <c r="L15" s="270"/>
      <c r="M15" s="270"/>
      <c r="N15" s="271"/>
      <c r="O15" s="117" t="s">
        <v>57</v>
      </c>
      <c r="P15" s="119">
        <f>L12-L14</f>
        <v>0</v>
      </c>
    </row>
    <row r="16" spans="1:16" s="10" customFormat="1" ht="15" customHeight="1">
      <c r="A16" s="116">
        <v>8</v>
      </c>
      <c r="B16" s="269" t="s">
        <v>82</v>
      </c>
      <c r="C16" s="270"/>
      <c r="D16" s="270"/>
      <c r="E16" s="270"/>
      <c r="F16" s="270"/>
      <c r="G16" s="270"/>
      <c r="H16" s="270"/>
      <c r="I16" s="270"/>
      <c r="J16" s="270"/>
      <c r="K16" s="270"/>
      <c r="L16" s="270"/>
      <c r="M16" s="270"/>
      <c r="N16" s="271"/>
      <c r="O16" s="117" t="s">
        <v>57</v>
      </c>
      <c r="P16" s="119">
        <f>P11+P15</f>
        <v>1245812</v>
      </c>
    </row>
    <row r="17" spans="1:16" s="10" customFormat="1" ht="15" customHeight="1">
      <c r="A17" s="116">
        <v>9</v>
      </c>
      <c r="B17" s="204" t="s">
        <v>83</v>
      </c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117" t="s">
        <v>57</v>
      </c>
      <c r="P17" s="119">
        <f>'Other Deduction'!E3+'Other Deduction'!E4</f>
        <v>0</v>
      </c>
    </row>
    <row r="18" spans="1:16" s="10" customFormat="1" ht="15" customHeight="1">
      <c r="A18" s="116">
        <v>10</v>
      </c>
      <c r="B18" s="204" t="s">
        <v>84</v>
      </c>
      <c r="C18" s="204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117" t="s">
        <v>57</v>
      </c>
      <c r="P18" s="118">
        <f>P16+P17</f>
        <v>1245812</v>
      </c>
    </row>
    <row r="19" spans="1:16" s="10" customFormat="1" ht="15" customHeight="1">
      <c r="A19" s="201">
        <v>11</v>
      </c>
      <c r="B19" s="296" t="s">
        <v>85</v>
      </c>
      <c r="C19" s="296"/>
      <c r="D19" s="296"/>
      <c r="E19" s="296"/>
      <c r="F19" s="296"/>
      <c r="G19" s="296"/>
      <c r="H19" s="296"/>
      <c r="I19" s="296"/>
      <c r="J19" s="296"/>
      <c r="K19" s="296"/>
      <c r="L19" s="296"/>
      <c r="M19" s="296"/>
      <c r="N19" s="296"/>
      <c r="O19" s="296"/>
      <c r="P19" s="297"/>
    </row>
    <row r="20" spans="1:16" s="10" customFormat="1" ht="18" customHeight="1">
      <c r="A20" s="202"/>
      <c r="B20" s="296" t="s">
        <v>127</v>
      </c>
      <c r="C20" s="296"/>
      <c r="D20" s="296"/>
      <c r="E20" s="296"/>
      <c r="F20" s="296"/>
      <c r="G20" s="296"/>
      <c r="H20" s="296"/>
      <c r="I20" s="296"/>
      <c r="J20" s="296"/>
      <c r="K20" s="296"/>
      <c r="L20" s="296"/>
      <c r="M20" s="296"/>
      <c r="N20" s="296"/>
      <c r="O20" s="296"/>
      <c r="P20" s="297"/>
    </row>
    <row r="21" spans="1:16" s="10" customFormat="1" ht="14.25" customHeight="1">
      <c r="A21" s="202"/>
      <c r="B21" s="120">
        <v>1</v>
      </c>
      <c r="C21" s="255" t="s">
        <v>126</v>
      </c>
      <c r="D21" s="256"/>
      <c r="E21" s="256"/>
      <c r="F21" s="256"/>
      <c r="G21" s="117" t="s">
        <v>57</v>
      </c>
      <c r="H21" s="121">
        <f>IF('Salary Seet'!E2&lt;&gt;"No",'Salary Seet'!P92,0)</f>
        <v>0</v>
      </c>
      <c r="I21" s="120">
        <v>10</v>
      </c>
      <c r="J21" s="240" t="s">
        <v>56</v>
      </c>
      <c r="K21" s="241"/>
      <c r="L21" s="242"/>
      <c r="M21" s="117" t="s">
        <v>57</v>
      </c>
      <c r="N21" s="121">
        <f>'Other Deduction'!E6</f>
        <v>0</v>
      </c>
      <c r="O21" s="249"/>
      <c r="P21" s="250"/>
    </row>
    <row r="22" spans="1:16" s="10" customFormat="1" ht="26.25" customHeight="1">
      <c r="A22" s="202"/>
      <c r="B22" s="120">
        <v>2</v>
      </c>
      <c r="C22" s="255" t="s">
        <v>52</v>
      </c>
      <c r="D22" s="256"/>
      <c r="E22" s="256"/>
      <c r="F22" s="256"/>
      <c r="G22" s="117" t="s">
        <v>57</v>
      </c>
      <c r="H22" s="121">
        <f>'Salary Seet'!T92+'Other Deduction'!B10</f>
        <v>0</v>
      </c>
      <c r="I22" s="120">
        <v>11</v>
      </c>
      <c r="J22" s="257" t="s">
        <v>58</v>
      </c>
      <c r="K22" s="258"/>
      <c r="L22" s="259"/>
      <c r="M22" s="117" t="s">
        <v>57</v>
      </c>
      <c r="N22" s="122">
        <f>'Other Deduction'!B15</f>
        <v>0</v>
      </c>
      <c r="O22" s="251"/>
      <c r="P22" s="252"/>
    </row>
    <row r="23" spans="1:16" s="10" customFormat="1" ht="14.25" customHeight="1">
      <c r="A23" s="202"/>
      <c r="B23" s="120">
        <v>3</v>
      </c>
      <c r="C23" s="255" t="s">
        <v>53</v>
      </c>
      <c r="D23" s="256"/>
      <c r="E23" s="256"/>
      <c r="F23" s="256"/>
      <c r="G23" s="117" t="s">
        <v>57</v>
      </c>
      <c r="H23" s="121">
        <f>'Other Deduction'!B14</f>
        <v>0</v>
      </c>
      <c r="I23" s="120">
        <v>12</v>
      </c>
      <c r="J23" s="257" t="s">
        <v>59</v>
      </c>
      <c r="K23" s="258"/>
      <c r="L23" s="259"/>
      <c r="M23" s="117" t="s">
        <v>57</v>
      </c>
      <c r="N23" s="122">
        <f>'Other Deduction'!B12</f>
        <v>0</v>
      </c>
      <c r="O23" s="251"/>
      <c r="P23" s="252"/>
    </row>
    <row r="24" spans="1:16" s="10" customFormat="1" ht="15" customHeight="1">
      <c r="A24" s="202"/>
      <c r="B24" s="120">
        <v>4</v>
      </c>
      <c r="C24" s="255" t="s">
        <v>65</v>
      </c>
      <c r="D24" s="256"/>
      <c r="E24" s="256"/>
      <c r="F24" s="256"/>
      <c r="G24" s="117" t="s">
        <v>57</v>
      </c>
      <c r="H24" s="121">
        <f>'Other Deduction'!B16</f>
        <v>0</v>
      </c>
      <c r="I24" s="120">
        <v>13</v>
      </c>
      <c r="J24" s="257" t="s">
        <v>60</v>
      </c>
      <c r="K24" s="258"/>
      <c r="L24" s="259"/>
      <c r="M24" s="117" t="s">
        <v>57</v>
      </c>
      <c r="N24" s="121">
        <f>'Other Deduction'!E15</f>
        <v>0</v>
      </c>
      <c r="O24" s="251"/>
      <c r="P24" s="252"/>
    </row>
    <row r="25" spans="1:16" s="10" customFormat="1" ht="15.75" customHeight="1">
      <c r="A25" s="202"/>
      <c r="B25" s="120">
        <v>5</v>
      </c>
      <c r="C25" s="255" t="s">
        <v>66</v>
      </c>
      <c r="D25" s="256"/>
      <c r="E25" s="256"/>
      <c r="F25" s="256"/>
      <c r="G25" s="117" t="s">
        <v>57</v>
      </c>
      <c r="H25" s="121">
        <f>'Other Deduction'!B17</f>
        <v>0</v>
      </c>
      <c r="I25" s="120">
        <v>14</v>
      </c>
      <c r="J25" s="240" t="s">
        <v>61</v>
      </c>
      <c r="K25" s="294"/>
      <c r="L25" s="295"/>
      <c r="M25" s="117" t="s">
        <v>57</v>
      </c>
      <c r="N25" s="121">
        <f>'Other Deduction'!E16</f>
        <v>0</v>
      </c>
      <c r="O25" s="251"/>
      <c r="P25" s="252"/>
    </row>
    <row r="26" spans="1:16" s="10" customFormat="1" ht="15.75" customHeight="1">
      <c r="A26" s="202"/>
      <c r="B26" s="120">
        <v>6</v>
      </c>
      <c r="C26" s="240" t="s">
        <v>119</v>
      </c>
      <c r="D26" s="294"/>
      <c r="E26" s="294"/>
      <c r="F26" s="295"/>
      <c r="G26" s="117" t="s">
        <v>57</v>
      </c>
      <c r="H26" s="121">
        <f>IF('Salary Seet'!E2&lt;&gt;"Yes",'Salary Seet'!P92,0)</f>
        <v>48000</v>
      </c>
      <c r="I26" s="120">
        <v>15</v>
      </c>
      <c r="J26" s="240" t="s">
        <v>62</v>
      </c>
      <c r="K26" s="294"/>
      <c r="L26" s="295"/>
      <c r="M26" s="117" t="s">
        <v>57</v>
      </c>
      <c r="N26" s="121">
        <f>'Other Deduction'!B11</f>
        <v>0</v>
      </c>
      <c r="O26" s="251"/>
      <c r="P26" s="252"/>
    </row>
    <row r="27" spans="1:16" s="10" customFormat="1" ht="15" customHeight="1">
      <c r="A27" s="202"/>
      <c r="B27" s="120">
        <v>7</v>
      </c>
      <c r="C27" s="240" t="s">
        <v>54</v>
      </c>
      <c r="D27" s="294"/>
      <c r="E27" s="294"/>
      <c r="F27" s="295"/>
      <c r="G27" s="117" t="s">
        <v>57</v>
      </c>
      <c r="H27" s="122">
        <f>'Salary Seet'!R92</f>
        <v>360</v>
      </c>
      <c r="I27" s="120">
        <v>16</v>
      </c>
      <c r="J27" s="240" t="s">
        <v>63</v>
      </c>
      <c r="K27" s="241"/>
      <c r="L27" s="242"/>
      <c r="M27" s="117" t="s">
        <v>57</v>
      </c>
      <c r="N27" s="121">
        <f>'Other Deduction'!E5</f>
        <v>0</v>
      </c>
      <c r="O27" s="251"/>
      <c r="P27" s="252"/>
    </row>
    <row r="28" spans="1:16" s="10" customFormat="1" ht="15.75" customHeight="1">
      <c r="A28" s="202"/>
      <c r="B28" s="120">
        <v>8</v>
      </c>
      <c r="C28" s="255" t="s">
        <v>55</v>
      </c>
      <c r="D28" s="255"/>
      <c r="E28" s="255"/>
      <c r="F28" s="255"/>
      <c r="G28" s="117" t="s">
        <v>57</v>
      </c>
      <c r="H28" s="122">
        <f>'Other Deduction'!B13</f>
        <v>0</v>
      </c>
      <c r="I28" s="120">
        <v>17</v>
      </c>
      <c r="J28" s="257" t="s">
        <v>64</v>
      </c>
      <c r="K28" s="258"/>
      <c r="L28" s="259"/>
      <c r="M28" s="117" t="s">
        <v>57</v>
      </c>
      <c r="N28" s="121">
        <f>'Other Deduction'!B18</f>
        <v>0</v>
      </c>
      <c r="O28" s="251"/>
      <c r="P28" s="252"/>
    </row>
    <row r="29" spans="1:16" s="10" customFormat="1" ht="27" customHeight="1">
      <c r="A29" s="202"/>
      <c r="B29" s="123">
        <v>9</v>
      </c>
      <c r="C29" s="238" t="s">
        <v>144</v>
      </c>
      <c r="D29" s="238"/>
      <c r="E29" s="238"/>
      <c r="F29" s="238"/>
      <c r="G29" s="124" t="s">
        <v>57</v>
      </c>
      <c r="H29" s="125">
        <f>'Other Deduction'!B8</f>
        <v>0</v>
      </c>
      <c r="I29" s="123">
        <v>18</v>
      </c>
      <c r="J29" s="238"/>
      <c r="K29" s="238"/>
      <c r="L29" s="238"/>
      <c r="M29" s="124" t="s">
        <v>57</v>
      </c>
      <c r="N29" s="121"/>
      <c r="O29" s="251"/>
      <c r="P29" s="252"/>
    </row>
    <row r="30" spans="1:16" s="10" customFormat="1" ht="15" customHeight="1">
      <c r="A30" s="202"/>
      <c r="B30" s="298" t="s">
        <v>68</v>
      </c>
      <c r="C30" s="299"/>
      <c r="D30" s="299"/>
      <c r="E30" s="299"/>
      <c r="F30" s="299"/>
      <c r="G30" s="299"/>
      <c r="H30" s="299"/>
      <c r="I30" s="299"/>
      <c r="J30" s="299"/>
      <c r="K30" s="299"/>
      <c r="L30" s="300"/>
      <c r="M30" s="124" t="s">
        <v>57</v>
      </c>
      <c r="N30" s="126">
        <f>SUM(H21:H29)+SUM(N21:N29)</f>
        <v>48360</v>
      </c>
      <c r="O30" s="253"/>
      <c r="P30" s="254"/>
    </row>
    <row r="31" spans="1:16" s="10" customFormat="1" ht="16.5" customHeight="1">
      <c r="A31" s="202"/>
      <c r="B31" s="239" t="s">
        <v>67</v>
      </c>
      <c r="C31" s="239"/>
      <c r="D31" s="239"/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124" t="s">
        <v>57</v>
      </c>
      <c r="P31" s="118">
        <v>0</v>
      </c>
    </row>
    <row r="32" spans="1:16" s="10" customFormat="1" ht="17.25" customHeight="1">
      <c r="A32" s="127"/>
      <c r="B32" s="337" t="s">
        <v>218</v>
      </c>
      <c r="C32" s="338"/>
      <c r="D32" s="338"/>
      <c r="E32" s="338"/>
      <c r="F32" s="338"/>
      <c r="G32" s="338"/>
      <c r="H32" s="338"/>
      <c r="I32" s="338"/>
      <c r="J32" s="338"/>
      <c r="K32" s="338"/>
      <c r="L32" s="338"/>
      <c r="M32" s="338"/>
      <c r="N32" s="339"/>
      <c r="O32" s="124" t="s">
        <v>57</v>
      </c>
      <c r="P32" s="118">
        <f>IF('Salary Seet'!E2="Yes",'Salary Seet'!Q92,0)</f>
        <v>0</v>
      </c>
    </row>
    <row r="33" spans="1:16" s="10" customFormat="1" ht="15" customHeight="1">
      <c r="A33" s="127"/>
      <c r="B33" s="340" t="s">
        <v>128</v>
      </c>
      <c r="C33" s="341"/>
      <c r="D33" s="341"/>
      <c r="E33" s="341"/>
      <c r="F33" s="341"/>
      <c r="G33" s="341"/>
      <c r="H33" s="341"/>
      <c r="I33" s="341"/>
      <c r="J33" s="341"/>
      <c r="K33" s="341"/>
      <c r="L33" s="341"/>
      <c r="M33" s="341"/>
      <c r="N33" s="342"/>
      <c r="O33" s="124" t="s">
        <v>57</v>
      </c>
      <c r="P33" s="118">
        <v>0</v>
      </c>
    </row>
    <row r="34" spans="1:16" s="10" customFormat="1" ht="15" customHeight="1">
      <c r="A34" s="127"/>
      <c r="B34" s="308" t="s">
        <v>129</v>
      </c>
      <c r="C34" s="309"/>
      <c r="D34" s="309"/>
      <c r="E34" s="309"/>
      <c r="F34" s="309"/>
      <c r="G34" s="309"/>
      <c r="H34" s="309"/>
      <c r="I34" s="309"/>
      <c r="J34" s="309"/>
      <c r="K34" s="309"/>
      <c r="L34" s="309"/>
      <c r="M34" s="309"/>
      <c r="N34" s="310"/>
      <c r="O34" s="124"/>
      <c r="P34" s="118">
        <f>P31+P32+P33</f>
        <v>0</v>
      </c>
    </row>
    <row r="35" spans="1:16" s="10" customFormat="1" ht="15" customHeight="1">
      <c r="A35" s="201">
        <v>12</v>
      </c>
      <c r="B35" s="243" t="s">
        <v>86</v>
      </c>
      <c r="C35" s="243"/>
      <c r="D35" s="243"/>
      <c r="E35" s="243"/>
      <c r="F35" s="243"/>
      <c r="G35" s="243"/>
      <c r="H35" s="243"/>
      <c r="I35" s="243"/>
      <c r="J35" s="243"/>
      <c r="K35" s="243"/>
      <c r="L35" s="243"/>
      <c r="M35" s="243"/>
      <c r="N35" s="243"/>
      <c r="O35" s="243"/>
      <c r="P35" s="244"/>
    </row>
    <row r="36" spans="1:16" s="10" customFormat="1" ht="27.75" customHeight="1">
      <c r="A36" s="202"/>
      <c r="B36" s="240" t="s">
        <v>87</v>
      </c>
      <c r="C36" s="241"/>
      <c r="D36" s="241"/>
      <c r="E36" s="241"/>
      <c r="F36" s="241"/>
      <c r="G36" s="241"/>
      <c r="H36" s="241"/>
      <c r="I36" s="241"/>
      <c r="J36" s="241"/>
      <c r="K36" s="241"/>
      <c r="L36" s="241"/>
      <c r="M36" s="241"/>
      <c r="N36" s="242"/>
      <c r="O36" s="124" t="s">
        <v>57</v>
      </c>
      <c r="P36" s="119">
        <f>'Other Deduction'!E8</f>
        <v>0</v>
      </c>
    </row>
    <row r="37" spans="1:16" s="10" customFormat="1" ht="17.25" customHeight="1">
      <c r="A37" s="202"/>
      <c r="B37" s="245" t="s">
        <v>139</v>
      </c>
      <c r="C37" s="245"/>
      <c r="D37" s="245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124" t="s">
        <v>57</v>
      </c>
      <c r="P37" s="119">
        <f>'Other Deduction'!E9</f>
        <v>0</v>
      </c>
    </row>
    <row r="38" spans="1:16" s="10" customFormat="1" ht="18" customHeight="1">
      <c r="A38" s="202"/>
      <c r="B38" s="245" t="s">
        <v>138</v>
      </c>
      <c r="C38" s="245"/>
      <c r="D38" s="245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124" t="s">
        <v>57</v>
      </c>
      <c r="P38" s="119">
        <f>'Other Deduction'!E10</f>
        <v>0</v>
      </c>
    </row>
    <row r="39" spans="1:16" s="10" customFormat="1" ht="16.5" customHeight="1">
      <c r="A39" s="202"/>
      <c r="B39" s="245" t="s">
        <v>137</v>
      </c>
      <c r="C39" s="245"/>
      <c r="D39" s="245"/>
      <c r="E39" s="245"/>
      <c r="F39" s="245"/>
      <c r="G39" s="245"/>
      <c r="H39" s="245"/>
      <c r="I39" s="245"/>
      <c r="J39" s="245"/>
      <c r="K39" s="245"/>
      <c r="L39" s="245"/>
      <c r="M39" s="245"/>
      <c r="N39" s="245"/>
      <c r="O39" s="124" t="s">
        <v>57</v>
      </c>
      <c r="P39" s="119">
        <f>'Other Deduction'!E11</f>
        <v>0</v>
      </c>
    </row>
    <row r="40" spans="1:16" s="10" customFormat="1" ht="16.5" customHeight="1">
      <c r="A40" s="202"/>
      <c r="B40" s="245" t="s">
        <v>136</v>
      </c>
      <c r="C40" s="245"/>
      <c r="D40" s="245"/>
      <c r="E40" s="245"/>
      <c r="F40" s="245"/>
      <c r="G40" s="245"/>
      <c r="H40" s="245"/>
      <c r="I40" s="245"/>
      <c r="J40" s="245"/>
      <c r="K40" s="245"/>
      <c r="L40" s="245"/>
      <c r="M40" s="245"/>
      <c r="N40" s="245"/>
      <c r="O40" s="124" t="s">
        <v>57</v>
      </c>
      <c r="P40" s="119">
        <f>'Other Deduction'!E12</f>
        <v>0</v>
      </c>
    </row>
    <row r="41" spans="1:16" s="10" customFormat="1" ht="15" customHeight="1">
      <c r="A41" s="202"/>
      <c r="B41" s="240" t="s">
        <v>135</v>
      </c>
      <c r="C41" s="241"/>
      <c r="D41" s="241"/>
      <c r="E41" s="241"/>
      <c r="F41" s="241"/>
      <c r="G41" s="241"/>
      <c r="H41" s="241"/>
      <c r="I41" s="241"/>
      <c r="J41" s="241"/>
      <c r="K41" s="241"/>
      <c r="L41" s="241"/>
      <c r="M41" s="241"/>
      <c r="N41" s="242"/>
      <c r="O41" s="124" t="s">
        <v>57</v>
      </c>
      <c r="P41" s="119">
        <f>'Other Deduction'!E13</f>
        <v>0</v>
      </c>
    </row>
    <row r="42" spans="1:16" s="10" customFormat="1" ht="17.25" customHeight="1">
      <c r="A42" s="202"/>
      <c r="B42" s="246" t="s">
        <v>134</v>
      </c>
      <c r="C42" s="247"/>
      <c r="D42" s="247"/>
      <c r="E42" s="247"/>
      <c r="F42" s="247"/>
      <c r="G42" s="247"/>
      <c r="H42" s="247"/>
      <c r="I42" s="247"/>
      <c r="J42" s="247"/>
      <c r="K42" s="247"/>
      <c r="L42" s="247"/>
      <c r="M42" s="247"/>
      <c r="N42" s="248"/>
      <c r="O42" s="124" t="s">
        <v>57</v>
      </c>
      <c r="P42" s="119">
        <f>IF('Other Deduction'!E3&lt;10001,'Other Deduction'!E3,10000)</f>
        <v>0</v>
      </c>
    </row>
    <row r="43" spans="1:16" s="10" customFormat="1" ht="15.75" customHeight="1">
      <c r="A43" s="202"/>
      <c r="B43" s="246" t="s">
        <v>133</v>
      </c>
      <c r="C43" s="247"/>
      <c r="D43" s="247"/>
      <c r="E43" s="247"/>
      <c r="F43" s="247"/>
      <c r="G43" s="247"/>
      <c r="H43" s="247"/>
      <c r="I43" s="247"/>
      <c r="J43" s="247"/>
      <c r="K43" s="247"/>
      <c r="L43" s="247"/>
      <c r="M43" s="247"/>
      <c r="N43" s="248"/>
      <c r="O43" s="124" t="s">
        <v>57</v>
      </c>
      <c r="P43" s="119">
        <f>'Other Deduction'!E14</f>
        <v>0</v>
      </c>
    </row>
    <row r="44" spans="1:16" s="10" customFormat="1" ht="15" customHeight="1">
      <c r="A44" s="203"/>
      <c r="B44" s="239" t="s">
        <v>88</v>
      </c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124" t="s">
        <v>57</v>
      </c>
      <c r="P44" s="129">
        <v>0</v>
      </c>
    </row>
    <row r="45" spans="1:16" s="10" customFormat="1" ht="15" customHeight="1">
      <c r="A45" s="116">
        <v>13</v>
      </c>
      <c r="B45" s="296" t="s">
        <v>89</v>
      </c>
      <c r="C45" s="296"/>
      <c r="D45" s="296"/>
      <c r="E45" s="296"/>
      <c r="F45" s="296"/>
      <c r="G45" s="296"/>
      <c r="H45" s="296"/>
      <c r="I45" s="296"/>
      <c r="J45" s="296"/>
      <c r="K45" s="296"/>
      <c r="L45" s="296"/>
      <c r="M45" s="296"/>
      <c r="N45" s="296"/>
      <c r="O45" s="124" t="s">
        <v>57</v>
      </c>
      <c r="P45" s="119">
        <f>P34+P44</f>
        <v>0</v>
      </c>
    </row>
    <row r="46" spans="1:16" s="10" customFormat="1" ht="15" customHeight="1">
      <c r="A46" s="116">
        <v>14</v>
      </c>
      <c r="B46" s="204" t="s">
        <v>90</v>
      </c>
      <c r="C46" s="204"/>
      <c r="D46" s="204"/>
      <c r="E46" s="204"/>
      <c r="F46" s="204"/>
      <c r="G46" s="204"/>
      <c r="H46" s="204"/>
      <c r="I46" s="204"/>
      <c r="J46" s="204"/>
      <c r="K46" s="204"/>
      <c r="L46" s="204"/>
      <c r="M46" s="204"/>
      <c r="N46" s="204"/>
      <c r="O46" s="124" t="s">
        <v>57</v>
      </c>
      <c r="P46" s="119">
        <f>(P18-P45)</f>
        <v>1245812</v>
      </c>
    </row>
    <row r="47" spans="1:16" s="10" customFormat="1" ht="15.75">
      <c r="A47" s="116">
        <v>15</v>
      </c>
      <c r="B47" s="296" t="s">
        <v>91</v>
      </c>
      <c r="C47" s="296"/>
      <c r="D47" s="296"/>
      <c r="E47" s="296"/>
      <c r="F47" s="296"/>
      <c r="G47" s="296"/>
      <c r="H47" s="296"/>
      <c r="I47" s="296"/>
      <c r="J47" s="296"/>
      <c r="K47" s="296"/>
      <c r="L47" s="296"/>
      <c r="M47" s="296"/>
      <c r="N47" s="296"/>
      <c r="O47" s="124" t="s">
        <v>57</v>
      </c>
      <c r="P47" s="118">
        <f>ROUND(P46,-1)</f>
        <v>1245810</v>
      </c>
    </row>
    <row r="48" spans="1:16" s="10" customFormat="1" ht="15" customHeight="1">
      <c r="A48" s="201">
        <v>16</v>
      </c>
      <c r="B48" s="204" t="s">
        <v>92</v>
      </c>
      <c r="C48" s="204"/>
      <c r="D48" s="204"/>
      <c r="E48" s="204"/>
      <c r="F48" s="204"/>
      <c r="G48" s="204"/>
      <c r="H48" s="204"/>
      <c r="I48" s="204"/>
      <c r="J48" s="204"/>
      <c r="K48" s="204"/>
      <c r="L48" s="204"/>
      <c r="M48" s="204"/>
      <c r="N48" s="204"/>
      <c r="O48" s="204"/>
      <c r="P48" s="205"/>
    </row>
    <row r="49" spans="1:16" s="10" customFormat="1" ht="15" customHeight="1">
      <c r="A49" s="202"/>
      <c r="B49" s="206" t="s">
        <v>94</v>
      </c>
      <c r="C49" s="206"/>
      <c r="D49" s="206"/>
      <c r="E49" s="206"/>
      <c r="F49" s="206"/>
      <c r="G49" s="206" t="s">
        <v>93</v>
      </c>
      <c r="H49" s="206"/>
      <c r="I49" s="206"/>
      <c r="J49" s="206"/>
      <c r="K49" s="207" t="s">
        <v>95</v>
      </c>
      <c r="L49" s="208"/>
      <c r="M49" s="208"/>
      <c r="N49" s="209"/>
      <c r="O49" s="130"/>
      <c r="P49" s="131"/>
    </row>
    <row r="50" spans="1:16" s="10" customFormat="1" ht="15" customHeight="1">
      <c r="A50" s="202"/>
      <c r="B50" s="210" t="s">
        <v>228</v>
      </c>
      <c r="C50" s="211"/>
      <c r="D50" s="212"/>
      <c r="E50" s="214" t="s">
        <v>19</v>
      </c>
      <c r="F50" s="214"/>
      <c r="G50" s="210" t="s">
        <v>228</v>
      </c>
      <c r="H50" s="211"/>
      <c r="I50" s="212"/>
      <c r="J50" s="132" t="s">
        <v>19</v>
      </c>
      <c r="K50" s="210" t="s">
        <v>228</v>
      </c>
      <c r="L50" s="211"/>
      <c r="M50" s="212"/>
      <c r="N50" s="132" t="s">
        <v>19</v>
      </c>
      <c r="O50" s="124" t="s">
        <v>57</v>
      </c>
      <c r="P50" s="133">
        <v>0</v>
      </c>
    </row>
    <row r="51" spans="1:16" s="10" customFormat="1" ht="15" customHeight="1">
      <c r="A51" s="202"/>
      <c r="B51" s="210" t="s">
        <v>229</v>
      </c>
      <c r="C51" s="211"/>
      <c r="D51" s="212"/>
      <c r="E51" s="213">
        <v>0.05</v>
      </c>
      <c r="F51" s="214"/>
      <c r="G51" s="210" t="s">
        <v>229</v>
      </c>
      <c r="H51" s="211"/>
      <c r="I51" s="212"/>
      <c r="J51" s="134">
        <v>0.05</v>
      </c>
      <c r="K51" s="210" t="s">
        <v>229</v>
      </c>
      <c r="L51" s="211"/>
      <c r="M51" s="212"/>
      <c r="N51" s="134">
        <v>0.05</v>
      </c>
      <c r="O51" s="124" t="s">
        <v>57</v>
      </c>
      <c r="P51" s="133">
        <f>ROUND(IF(P47&lt;400001,0,IF(P47&gt;800000,20000,((P47-400000)*5%))),0)</f>
        <v>20000</v>
      </c>
    </row>
    <row r="52" spans="1:16" s="10" customFormat="1" ht="15" customHeight="1">
      <c r="A52" s="202"/>
      <c r="B52" s="210" t="s">
        <v>230</v>
      </c>
      <c r="C52" s="211"/>
      <c r="D52" s="212"/>
      <c r="E52" s="213">
        <v>0.1</v>
      </c>
      <c r="F52" s="214"/>
      <c r="G52" s="210" t="s">
        <v>230</v>
      </c>
      <c r="H52" s="211"/>
      <c r="I52" s="212"/>
      <c r="J52" s="134">
        <v>0.1</v>
      </c>
      <c r="K52" s="210" t="s">
        <v>230</v>
      </c>
      <c r="L52" s="211"/>
      <c r="M52" s="212"/>
      <c r="N52" s="134">
        <v>0.1</v>
      </c>
      <c r="O52" s="124" t="s">
        <v>57</v>
      </c>
      <c r="P52" s="133">
        <f>IF(P47&lt;800001,0,IF(P47&gt;1200000,40000,((P47-800000)*10%)))</f>
        <v>40000</v>
      </c>
    </row>
    <row r="53" spans="1:16" s="10" customFormat="1" ht="15" customHeight="1">
      <c r="A53" s="202"/>
      <c r="B53" s="210" t="s">
        <v>231</v>
      </c>
      <c r="C53" s="211"/>
      <c r="D53" s="212"/>
      <c r="E53" s="324">
        <v>0.15</v>
      </c>
      <c r="F53" s="325"/>
      <c r="G53" s="210" t="s">
        <v>231</v>
      </c>
      <c r="H53" s="211"/>
      <c r="I53" s="212"/>
      <c r="J53" s="134">
        <v>0.15</v>
      </c>
      <c r="K53" s="210" t="s">
        <v>231</v>
      </c>
      <c r="L53" s="211"/>
      <c r="M53" s="212"/>
      <c r="N53" s="134">
        <v>0.15</v>
      </c>
      <c r="O53" s="124" t="s">
        <v>57</v>
      </c>
      <c r="P53" s="133">
        <f>IF(P47&lt;1200001,0,IF(P47&gt;1600000,60000,((P47-1200000)*15%)))</f>
        <v>6871.5</v>
      </c>
    </row>
    <row r="54" spans="1:16" s="10" customFormat="1" ht="15" customHeight="1">
      <c r="A54" s="202"/>
      <c r="B54" s="210" t="s">
        <v>232</v>
      </c>
      <c r="C54" s="211"/>
      <c r="D54" s="212"/>
      <c r="E54" s="324">
        <v>0.2</v>
      </c>
      <c r="F54" s="325"/>
      <c r="G54" s="210" t="s">
        <v>232</v>
      </c>
      <c r="H54" s="211"/>
      <c r="I54" s="212"/>
      <c r="J54" s="134">
        <v>0.2</v>
      </c>
      <c r="K54" s="210" t="s">
        <v>232</v>
      </c>
      <c r="L54" s="211"/>
      <c r="M54" s="212"/>
      <c r="N54" s="134">
        <v>0.2</v>
      </c>
      <c r="O54" s="124" t="s">
        <v>57</v>
      </c>
      <c r="P54" s="133">
        <f>IF(P47&lt;1600001,0,IF(P47&gt;2000000,80000,((P47-1600000)*20%)))</f>
        <v>0</v>
      </c>
    </row>
    <row r="55" spans="1:16" s="10" customFormat="1" ht="15" customHeight="1">
      <c r="A55" s="202"/>
      <c r="B55" s="210" t="s">
        <v>233</v>
      </c>
      <c r="C55" s="211"/>
      <c r="D55" s="212"/>
      <c r="E55" s="324">
        <v>0.25</v>
      </c>
      <c r="F55" s="325"/>
      <c r="G55" s="210" t="s">
        <v>233</v>
      </c>
      <c r="H55" s="211"/>
      <c r="I55" s="212"/>
      <c r="J55" s="134">
        <v>0.25</v>
      </c>
      <c r="K55" s="210" t="s">
        <v>233</v>
      </c>
      <c r="L55" s="211"/>
      <c r="M55" s="212"/>
      <c r="N55" s="134">
        <v>0.25</v>
      </c>
      <c r="O55" s="124" t="s">
        <v>57</v>
      </c>
      <c r="P55" s="133">
        <f>IF(P47&lt;2000001,0,IF(P47&gt;2400000,100000,((P47-2000000)*25%)))</f>
        <v>0</v>
      </c>
    </row>
    <row r="56" spans="1:16" s="10" customFormat="1" ht="15" customHeight="1">
      <c r="A56" s="202"/>
      <c r="B56" s="210" t="s">
        <v>234</v>
      </c>
      <c r="C56" s="211"/>
      <c r="D56" s="212"/>
      <c r="E56" s="213">
        <v>0.3</v>
      </c>
      <c r="F56" s="214"/>
      <c r="G56" s="210" t="s">
        <v>234</v>
      </c>
      <c r="H56" s="211"/>
      <c r="I56" s="212"/>
      <c r="J56" s="134">
        <v>0.3</v>
      </c>
      <c r="K56" s="210" t="s">
        <v>234</v>
      </c>
      <c r="L56" s="211"/>
      <c r="M56" s="212"/>
      <c r="N56" s="134">
        <v>0.3</v>
      </c>
      <c r="O56" s="124" t="s">
        <v>57</v>
      </c>
      <c r="P56" s="133">
        <f>IF(P47&lt;2400001,0,(P47-2400000)*30%)</f>
        <v>0</v>
      </c>
    </row>
    <row r="57" spans="1:16" s="10" customFormat="1" ht="15" customHeight="1">
      <c r="A57" s="202"/>
      <c r="B57" s="194" t="s">
        <v>101</v>
      </c>
      <c r="C57" s="195"/>
      <c r="D57" s="195"/>
      <c r="E57" s="195"/>
      <c r="F57" s="195"/>
      <c r="G57" s="195"/>
      <c r="H57" s="195"/>
      <c r="I57" s="195"/>
      <c r="J57" s="195"/>
      <c r="K57" s="195"/>
      <c r="L57" s="195"/>
      <c r="M57" s="195"/>
      <c r="N57" s="196"/>
      <c r="O57" s="124" t="s">
        <v>57</v>
      </c>
      <c r="P57" s="118">
        <f>SUM(P50:P56)</f>
        <v>66871.5</v>
      </c>
    </row>
    <row r="58" spans="1:16" s="10" customFormat="1" ht="34.5" customHeight="1">
      <c r="A58" s="202"/>
      <c r="B58" s="320" t="s">
        <v>235</v>
      </c>
      <c r="C58" s="321"/>
      <c r="D58" s="321"/>
      <c r="E58" s="321"/>
      <c r="F58" s="321"/>
      <c r="G58" s="321"/>
      <c r="H58" s="321"/>
      <c r="I58" s="321"/>
      <c r="J58" s="321"/>
      <c r="K58" s="321"/>
      <c r="L58" s="321"/>
      <c r="M58" s="321"/>
      <c r="N58" s="322"/>
      <c r="O58" s="124" t="s">
        <v>57</v>
      </c>
      <c r="P58" s="119">
        <f>IF(P47&lt;1200001,P57,IF(Q47&gt;1270584,0,P57-(P47-1200000)))</f>
        <v>21061.5</v>
      </c>
    </row>
    <row r="59" spans="1:16" s="10" customFormat="1" ht="15" customHeight="1">
      <c r="A59" s="202"/>
      <c r="B59" s="194" t="s">
        <v>216</v>
      </c>
      <c r="C59" s="195"/>
      <c r="D59" s="195"/>
      <c r="E59" s="195"/>
      <c r="F59" s="195"/>
      <c r="G59" s="195"/>
      <c r="H59" s="195"/>
      <c r="I59" s="195"/>
      <c r="J59" s="195"/>
      <c r="K59" s="195"/>
      <c r="L59" s="195"/>
      <c r="M59" s="195"/>
      <c r="N59" s="196"/>
      <c r="O59" s="124" t="s">
        <v>57</v>
      </c>
      <c r="P59" s="118">
        <f>P57-P58</f>
        <v>45810</v>
      </c>
    </row>
    <row r="60" spans="1:16" s="10" customFormat="1" ht="15" customHeight="1">
      <c r="A60" s="202"/>
      <c r="B60" s="323" t="s">
        <v>217</v>
      </c>
      <c r="C60" s="323"/>
      <c r="D60" s="323"/>
      <c r="E60" s="323"/>
      <c r="F60" s="323"/>
      <c r="G60" s="323"/>
      <c r="H60" s="323"/>
      <c r="I60" s="323"/>
      <c r="J60" s="323"/>
      <c r="K60" s="323"/>
      <c r="L60" s="323"/>
      <c r="M60" s="323"/>
      <c r="N60" s="323"/>
      <c r="O60" s="124" t="s">
        <v>57</v>
      </c>
      <c r="P60" s="119">
        <f>ROUND(P59*0.04,0)</f>
        <v>1832</v>
      </c>
    </row>
    <row r="61" spans="1:16" s="10" customFormat="1" ht="15" customHeight="1">
      <c r="A61" s="203"/>
      <c r="B61" s="198" t="s">
        <v>105</v>
      </c>
      <c r="C61" s="199"/>
      <c r="D61" s="199"/>
      <c r="E61" s="199"/>
      <c r="F61" s="199"/>
      <c r="G61" s="199"/>
      <c r="H61" s="199"/>
      <c r="I61" s="199"/>
      <c r="J61" s="199"/>
      <c r="K61" s="199"/>
      <c r="L61" s="199"/>
      <c r="M61" s="199"/>
      <c r="N61" s="200"/>
      <c r="O61" s="124" t="s">
        <v>57</v>
      </c>
      <c r="P61" s="118">
        <f>SUM(P59:P60)</f>
        <v>47642</v>
      </c>
    </row>
    <row r="62" spans="1:16" s="10" customFormat="1" ht="15" customHeight="1">
      <c r="A62" s="116">
        <v>17</v>
      </c>
      <c r="B62" s="226" t="s">
        <v>106</v>
      </c>
      <c r="C62" s="227"/>
      <c r="D62" s="227"/>
      <c r="E62" s="227"/>
      <c r="F62" s="227"/>
      <c r="G62" s="227"/>
      <c r="H62" s="227"/>
      <c r="I62" s="227"/>
      <c r="J62" s="227"/>
      <c r="K62" s="227"/>
      <c r="L62" s="227"/>
      <c r="M62" s="227"/>
      <c r="N62" s="228"/>
      <c r="O62" s="124" t="s">
        <v>57</v>
      </c>
      <c r="P62" s="119">
        <f>'Other Deduction'!E17</f>
        <v>0</v>
      </c>
    </row>
    <row r="63" spans="1:16" s="10" customFormat="1" ht="15" customHeight="1">
      <c r="A63" s="116">
        <v>18</v>
      </c>
      <c r="B63" s="296" t="s">
        <v>107</v>
      </c>
      <c r="C63" s="296"/>
      <c r="D63" s="296"/>
      <c r="E63" s="296"/>
      <c r="F63" s="296"/>
      <c r="G63" s="296"/>
      <c r="H63" s="296"/>
      <c r="I63" s="296"/>
      <c r="J63" s="296"/>
      <c r="K63" s="296"/>
      <c r="L63" s="296"/>
      <c r="M63" s="296"/>
      <c r="N63" s="296"/>
      <c r="O63" s="124" t="s">
        <v>57</v>
      </c>
      <c r="P63" s="118">
        <f>P61-P62</f>
        <v>47642</v>
      </c>
    </row>
    <row r="64" spans="1:16" ht="50.25" customHeight="1">
      <c r="A64" s="201">
        <v>19</v>
      </c>
      <c r="B64" s="329" t="s">
        <v>108</v>
      </c>
      <c r="C64" s="330"/>
      <c r="D64" s="331"/>
      <c r="E64" s="335" t="s">
        <v>219</v>
      </c>
      <c r="F64" s="335"/>
      <c r="G64" s="335"/>
      <c r="H64" s="335"/>
      <c r="I64" s="219" t="s">
        <v>220</v>
      </c>
      <c r="J64" s="336"/>
      <c r="K64" s="156" t="s">
        <v>226</v>
      </c>
      <c r="L64" s="219" t="s">
        <v>227</v>
      </c>
      <c r="M64" s="336"/>
      <c r="N64" s="156" t="s">
        <v>109</v>
      </c>
      <c r="O64" s="219" t="s">
        <v>110</v>
      </c>
      <c r="P64" s="220"/>
    </row>
    <row r="65" spans="1:17" ht="15.75">
      <c r="A65" s="203"/>
      <c r="B65" s="332"/>
      <c r="C65" s="333"/>
      <c r="D65" s="334"/>
      <c r="E65" s="221">
        <f>SUM('Salary Seet'!X72:X78)</f>
        <v>7000</v>
      </c>
      <c r="F65" s="221"/>
      <c r="G65" s="221"/>
      <c r="H65" s="221"/>
      <c r="I65" s="221">
        <f>SUM('Salary Seet'!X79:X81)</f>
        <v>3000</v>
      </c>
      <c r="J65" s="221"/>
      <c r="K65" s="137">
        <f>'Salary Seet'!X82</f>
        <v>1000</v>
      </c>
      <c r="L65" s="221">
        <f>'Salary Seet'!X83</f>
        <v>1000</v>
      </c>
      <c r="M65" s="221"/>
      <c r="N65" s="138">
        <f>SUM('Salary Seet'!X84:X91)+'Other Deduction'!E18</f>
        <v>0</v>
      </c>
      <c r="O65" s="222">
        <f>E65+I65+K65+L65+N65</f>
        <v>12000</v>
      </c>
      <c r="P65" s="223"/>
    </row>
    <row r="66" spans="1:17" ht="16.5" thickBot="1">
      <c r="A66" s="224" t="str">
        <f>IF(P63&gt;O65,"Income Tax Payable",IF(P63&lt;O65,"Income Tax Refundable","Income Tax Payble/Refundable"))</f>
        <v>Income Tax Payable</v>
      </c>
      <c r="B66" s="225"/>
      <c r="C66" s="225"/>
      <c r="D66" s="225"/>
      <c r="E66" s="225"/>
      <c r="F66" s="225"/>
      <c r="G66" s="225"/>
      <c r="H66" s="225"/>
      <c r="I66" s="225"/>
      <c r="J66" s="225"/>
      <c r="K66" s="225"/>
      <c r="L66" s="225"/>
      <c r="M66" s="225"/>
      <c r="N66" s="225"/>
      <c r="O66" s="124" t="s">
        <v>57</v>
      </c>
      <c r="P66" s="139">
        <f>IF(P63&gt;O65,P63-O65,O65-P63)</f>
        <v>35642</v>
      </c>
    </row>
    <row r="67" spans="1:17" ht="15.75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2"/>
      <c r="P67" s="16"/>
    </row>
    <row r="68" spans="1:17" ht="15.75">
      <c r="A68" s="53"/>
      <c r="B68" s="319" t="s">
        <v>111</v>
      </c>
      <c r="C68" s="319"/>
      <c r="D68" s="319"/>
      <c r="E68" s="319"/>
      <c r="F68" s="54"/>
      <c r="G68" s="54"/>
      <c r="H68" s="54"/>
      <c r="I68" s="54"/>
      <c r="J68" s="54"/>
      <c r="K68" s="54"/>
      <c r="L68" s="319" t="s">
        <v>24</v>
      </c>
      <c r="M68" s="319"/>
      <c r="N68" s="319"/>
      <c r="O68" s="319"/>
      <c r="P68" s="55"/>
    </row>
    <row r="69" spans="1:17" ht="15.75" hidden="1">
      <c r="A69" s="319"/>
      <c r="B69" s="319"/>
      <c r="C69" s="319"/>
      <c r="D69" s="319"/>
      <c r="E69" s="54"/>
      <c r="F69" s="54"/>
      <c r="G69" s="54"/>
      <c r="H69" s="54"/>
      <c r="I69" s="54"/>
      <c r="J69" s="54"/>
      <c r="K69" s="54"/>
      <c r="L69" s="54"/>
      <c r="M69" s="319"/>
      <c r="N69" s="319"/>
      <c r="O69" s="319"/>
      <c r="P69" s="319"/>
    </row>
    <row r="70" spans="1:17" ht="15.75" hidden="1" customHeight="1">
      <c r="A70" s="53"/>
      <c r="B70" s="326"/>
      <c r="C70" s="326"/>
      <c r="D70" s="326"/>
      <c r="E70" s="326"/>
      <c r="F70" s="326"/>
      <c r="G70" s="326"/>
      <c r="H70" s="326"/>
      <c r="I70" s="326"/>
      <c r="J70" s="326"/>
      <c r="K70" s="326"/>
      <c r="L70" s="326"/>
      <c r="M70" s="326"/>
      <c r="N70" s="326"/>
      <c r="O70" s="326"/>
      <c r="P70" s="326"/>
    </row>
    <row r="71" spans="1:17" ht="15.75" hidden="1" customHeight="1">
      <c r="A71" s="53"/>
      <c r="B71" s="326"/>
      <c r="C71" s="326"/>
      <c r="D71" s="326"/>
      <c r="E71" s="326"/>
      <c r="F71" s="326"/>
      <c r="G71" s="326"/>
      <c r="H71" s="326"/>
      <c r="I71" s="326"/>
      <c r="J71" s="326"/>
      <c r="K71" s="326"/>
      <c r="L71" s="326"/>
      <c r="M71" s="326"/>
      <c r="N71" s="326"/>
      <c r="O71" s="326"/>
      <c r="P71" s="326"/>
    </row>
    <row r="72" spans="1:17" ht="24" hidden="1" customHeight="1">
      <c r="A72" s="53"/>
      <c r="B72" s="326"/>
      <c r="C72" s="326"/>
      <c r="D72" s="326"/>
      <c r="E72" s="326"/>
      <c r="F72" s="326"/>
      <c r="G72" s="326"/>
      <c r="H72" s="326"/>
      <c r="I72" s="326"/>
      <c r="J72" s="326"/>
      <c r="K72" s="326"/>
      <c r="L72" s="326"/>
      <c r="M72" s="326"/>
      <c r="N72" s="326"/>
      <c r="O72" s="326"/>
      <c r="P72" s="326"/>
    </row>
    <row r="73" spans="1:17" ht="15.75" hidden="1" customHeight="1">
      <c r="A73" s="53"/>
      <c r="B73" s="54"/>
      <c r="C73" s="54"/>
      <c r="D73" s="54"/>
      <c r="E73" s="54"/>
      <c r="F73" s="54"/>
      <c r="G73" s="54"/>
      <c r="H73" s="54"/>
      <c r="I73" s="54"/>
      <c r="J73" s="54"/>
      <c r="K73" s="327"/>
      <c r="L73" s="327"/>
      <c r="M73" s="327"/>
      <c r="N73" s="327"/>
      <c r="O73" s="327"/>
      <c r="P73" s="327"/>
    </row>
    <row r="74" spans="1:17" ht="15.75" hidden="1" customHeight="1">
      <c r="A74" s="53"/>
      <c r="B74" s="54"/>
      <c r="C74" s="54"/>
      <c r="D74" s="54"/>
      <c r="E74" s="54"/>
      <c r="F74" s="54"/>
      <c r="G74" s="54"/>
      <c r="H74" s="54"/>
      <c r="I74" s="54"/>
      <c r="J74" s="54"/>
      <c r="K74" s="327"/>
      <c r="L74" s="327"/>
      <c r="M74" s="327"/>
      <c r="N74" s="327"/>
      <c r="O74" s="327"/>
      <c r="P74" s="327"/>
    </row>
    <row r="75" spans="1:17" ht="15.75" hidden="1" customHeight="1">
      <c r="A75" s="53"/>
      <c r="B75" s="54"/>
      <c r="C75" s="54"/>
      <c r="D75" s="54"/>
      <c r="E75" s="54"/>
      <c r="F75" s="54"/>
      <c r="G75" s="54"/>
      <c r="H75" s="54"/>
      <c r="I75" s="54"/>
      <c r="J75" s="54"/>
      <c r="K75" s="327"/>
      <c r="L75" s="327"/>
      <c r="M75" s="327"/>
      <c r="N75" s="327"/>
      <c r="O75" s="327"/>
      <c r="P75" s="327"/>
    </row>
    <row r="76" spans="1:17" ht="15.75" hidden="1" customHeight="1">
      <c r="A76" s="53"/>
      <c r="B76" s="54"/>
      <c r="C76" s="54"/>
      <c r="D76" s="54"/>
      <c r="E76" s="54"/>
      <c r="F76" s="54"/>
      <c r="G76" s="54"/>
      <c r="H76" s="54"/>
      <c r="I76" s="54"/>
      <c r="J76" s="54"/>
      <c r="K76" s="327"/>
      <c r="L76" s="327"/>
      <c r="M76" s="327"/>
      <c r="N76" s="327"/>
      <c r="O76" s="327"/>
      <c r="P76" s="327"/>
    </row>
    <row r="77" spans="1:17" ht="15.75" hidden="1" customHeight="1">
      <c r="A77" s="53"/>
      <c r="B77" s="54"/>
      <c r="C77" s="54"/>
      <c r="D77" s="54"/>
      <c r="E77" s="54"/>
      <c r="F77" s="54"/>
      <c r="G77" s="54"/>
      <c r="H77" s="54"/>
      <c r="I77" s="54"/>
      <c r="J77" s="54"/>
      <c r="K77" s="327"/>
      <c r="L77" s="327"/>
      <c r="M77" s="327"/>
      <c r="N77" s="327"/>
      <c r="O77" s="327"/>
      <c r="P77" s="327"/>
    </row>
    <row r="78" spans="1:17" ht="15.75" hidden="1">
      <c r="A78" s="53"/>
      <c r="B78" s="54"/>
      <c r="C78" s="328"/>
      <c r="D78" s="328"/>
      <c r="E78" s="328"/>
      <c r="F78" s="328"/>
      <c r="G78" s="328"/>
      <c r="H78" s="328"/>
      <c r="I78" s="328"/>
      <c r="J78" s="54"/>
      <c r="K78" s="327"/>
      <c r="L78" s="327"/>
      <c r="M78" s="327"/>
      <c r="N78" s="327"/>
      <c r="O78" s="327"/>
      <c r="P78" s="327"/>
    </row>
    <row r="79" spans="1:17" ht="15.75" hidden="1">
      <c r="A79" s="53"/>
      <c r="B79" s="54"/>
      <c r="C79" s="54"/>
      <c r="D79" s="54"/>
      <c r="E79" s="54"/>
      <c r="F79" s="54"/>
      <c r="G79" s="54"/>
      <c r="H79" s="54"/>
      <c r="I79" s="54"/>
      <c r="J79" s="54"/>
      <c r="K79" s="327"/>
      <c r="L79" s="327"/>
      <c r="M79" s="327"/>
      <c r="N79" s="327"/>
      <c r="O79" s="327"/>
      <c r="P79" s="327"/>
    </row>
    <row r="80" spans="1:17" ht="15.75" hidden="1">
      <c r="A80" s="56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8"/>
      <c r="P80" s="59"/>
      <c r="Q80" s="29"/>
    </row>
    <row r="81" spans="1:17" ht="15.75" hidden="1">
      <c r="A81" s="56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8"/>
      <c r="P81" s="59"/>
      <c r="Q81" s="29"/>
    </row>
    <row r="82" spans="1:17" ht="15.75" hidden="1">
      <c r="A82" s="56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8"/>
      <c r="P82" s="59"/>
      <c r="Q82" s="29"/>
    </row>
    <row r="83" spans="1:17" ht="15.75" hidden="1">
      <c r="A83" s="53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60"/>
      <c r="P83" s="55"/>
    </row>
    <row r="84" spans="1:17" ht="15.75" hidden="1">
      <c r="A84" s="53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60"/>
      <c r="P84" s="55"/>
    </row>
    <row r="85" spans="1:17" ht="15.75" hidden="1">
      <c r="A85" s="53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60"/>
      <c r="P85" s="55"/>
    </row>
    <row r="86" spans="1:17" ht="15.75" hidden="1"/>
    <row r="87" spans="1:17" ht="0" hidden="1" customHeight="1"/>
  </sheetData>
  <sheetProtection algorithmName="SHA-512" hashValue="9R63mC069V1RlkNzIZpi/1Of/JexHOPTaRzaUoiWru2OjS+xRt3B1HfLJ7EJ1pwaZNSMigfo3tja/rmo14JANQ==" saltValue="T8s8QU7g0duSNEb5AbU8ww==" spinCount="100000" sheet="1" objects="1" scenarios="1"/>
  <mergeCells count="137">
    <mergeCell ref="A7:A10"/>
    <mergeCell ref="B7:K7"/>
    <mergeCell ref="L7:N7"/>
    <mergeCell ref="A1:P1"/>
    <mergeCell ref="A2:P2"/>
    <mergeCell ref="B3:C3"/>
    <mergeCell ref="D3:I3"/>
    <mergeCell ref="K3:M3"/>
    <mergeCell ref="O3:P3"/>
    <mergeCell ref="O7:P9"/>
    <mergeCell ref="B8:K8"/>
    <mergeCell ref="L8:N8"/>
    <mergeCell ref="B9:K9"/>
    <mergeCell ref="L9:N9"/>
    <mergeCell ref="B10:K10"/>
    <mergeCell ref="L10:N10"/>
    <mergeCell ref="B4:N4"/>
    <mergeCell ref="B5:N5"/>
    <mergeCell ref="B6:N6"/>
    <mergeCell ref="B11:N11"/>
    <mergeCell ref="A12:A14"/>
    <mergeCell ref="B12:I12"/>
    <mergeCell ref="J12:K12"/>
    <mergeCell ref="L12:N12"/>
    <mergeCell ref="O12:P14"/>
    <mergeCell ref="B13:C14"/>
    <mergeCell ref="D13:F13"/>
    <mergeCell ref="G13:I13"/>
    <mergeCell ref="J13:K13"/>
    <mergeCell ref="A19:A31"/>
    <mergeCell ref="B19:P19"/>
    <mergeCell ref="B20:P20"/>
    <mergeCell ref="C21:F21"/>
    <mergeCell ref="J21:L21"/>
    <mergeCell ref="O21:P30"/>
    <mergeCell ref="C22:F22"/>
    <mergeCell ref="L13:N13"/>
    <mergeCell ref="D14:F14"/>
    <mergeCell ref="G14:I14"/>
    <mergeCell ref="J14:K14"/>
    <mergeCell ref="L14:N14"/>
    <mergeCell ref="B15:N15"/>
    <mergeCell ref="J22:L22"/>
    <mergeCell ref="C23:F23"/>
    <mergeCell ref="J23:L23"/>
    <mergeCell ref="C24:F24"/>
    <mergeCell ref="J24:L24"/>
    <mergeCell ref="C25:F25"/>
    <mergeCell ref="J25:L25"/>
    <mergeCell ref="B16:N16"/>
    <mergeCell ref="B17:N17"/>
    <mergeCell ref="B18:N18"/>
    <mergeCell ref="C29:F29"/>
    <mergeCell ref="J29:L29"/>
    <mergeCell ref="B30:L30"/>
    <mergeCell ref="B31:N31"/>
    <mergeCell ref="B32:N32"/>
    <mergeCell ref="B33:N33"/>
    <mergeCell ref="C26:F26"/>
    <mergeCell ref="J26:L26"/>
    <mergeCell ref="C27:F27"/>
    <mergeCell ref="J27:L27"/>
    <mergeCell ref="C28:F28"/>
    <mergeCell ref="J28:L28"/>
    <mergeCell ref="B34:N34"/>
    <mergeCell ref="A35:A44"/>
    <mergeCell ref="B35:P35"/>
    <mergeCell ref="B36:N36"/>
    <mergeCell ref="B37:N37"/>
    <mergeCell ref="B38:N38"/>
    <mergeCell ref="B39:N39"/>
    <mergeCell ref="B40:N40"/>
    <mergeCell ref="B41:N41"/>
    <mergeCell ref="B42:N42"/>
    <mergeCell ref="B43:N43"/>
    <mergeCell ref="B44:N44"/>
    <mergeCell ref="B45:N45"/>
    <mergeCell ref="B46:N46"/>
    <mergeCell ref="B47:N47"/>
    <mergeCell ref="A48:A61"/>
    <mergeCell ref="B48:P48"/>
    <mergeCell ref="B49:F49"/>
    <mergeCell ref="G49:J49"/>
    <mergeCell ref="K49:N49"/>
    <mergeCell ref="B56:D56"/>
    <mergeCell ref="E56:F56"/>
    <mergeCell ref="G56:I56"/>
    <mergeCell ref="K56:M56"/>
    <mergeCell ref="B54:D54"/>
    <mergeCell ref="E54:F54"/>
    <mergeCell ref="G54:I54"/>
    <mergeCell ref="K54:M54"/>
    <mergeCell ref="B55:D55"/>
    <mergeCell ref="E55:F55"/>
    <mergeCell ref="G55:I55"/>
    <mergeCell ref="K55:M55"/>
    <mergeCell ref="B50:D50"/>
    <mergeCell ref="E50:F50"/>
    <mergeCell ref="G50:I50"/>
    <mergeCell ref="K50:M50"/>
    <mergeCell ref="A69:D69"/>
    <mergeCell ref="M69:P69"/>
    <mergeCell ref="B70:P72"/>
    <mergeCell ref="K73:P79"/>
    <mergeCell ref="C78:I78"/>
    <mergeCell ref="O64:P64"/>
    <mergeCell ref="E65:H65"/>
    <mergeCell ref="I65:J65"/>
    <mergeCell ref="L65:M65"/>
    <mergeCell ref="O65:P65"/>
    <mergeCell ref="A66:N66"/>
    <mergeCell ref="A64:A65"/>
    <mergeCell ref="B64:D65"/>
    <mergeCell ref="E64:H64"/>
    <mergeCell ref="I64:J64"/>
    <mergeCell ref="L64:M64"/>
    <mergeCell ref="B51:D51"/>
    <mergeCell ref="E51:F51"/>
    <mergeCell ref="G51:I51"/>
    <mergeCell ref="K51:M51"/>
    <mergeCell ref="B52:D52"/>
    <mergeCell ref="E52:F52"/>
    <mergeCell ref="G52:I52"/>
    <mergeCell ref="K52:M52"/>
    <mergeCell ref="B68:E68"/>
    <mergeCell ref="L68:O68"/>
    <mergeCell ref="B63:N63"/>
    <mergeCell ref="B57:N57"/>
    <mergeCell ref="B58:N58"/>
    <mergeCell ref="B59:N59"/>
    <mergeCell ref="B60:N60"/>
    <mergeCell ref="B61:N61"/>
    <mergeCell ref="B62:N62"/>
    <mergeCell ref="B53:D53"/>
    <mergeCell ref="E53:F53"/>
    <mergeCell ref="G53:I53"/>
    <mergeCell ref="K53:M53"/>
  </mergeCells>
  <printOptions horizontalCentered="1"/>
  <pageMargins left="0.39370078740157499" right="0.23622047244094499" top="0.23622047244094499" bottom="0.27559055118110198" header="0.196850393700787" footer="0.23622047244094499"/>
  <pageSetup paperSize="9" scale="71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 Seet</vt:lpstr>
      <vt:lpstr>Other Deduction</vt:lpstr>
      <vt:lpstr>Tax Old Regime</vt:lpstr>
      <vt:lpstr>Tax New Regime</vt:lpstr>
      <vt:lpstr>'Salary Seet'!Print_Area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2024-01-06T11:23:52Z</cp:lastPrinted>
  <dcterms:created xsi:type="dcterms:W3CDTF">2013-12-06T08:14:36Z</dcterms:created>
  <dcterms:modified xsi:type="dcterms:W3CDTF">2026-02-15T10:58:59Z</dcterms:modified>
</cp:coreProperties>
</file>